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705" yWindow="65521" windowWidth="12540" windowHeight="11760" activeTab="0"/>
  </bookViews>
  <sheets>
    <sheet name="Curvas" sheetId="1" r:id="rId1"/>
    <sheet name="Spline" sheetId="2" r:id="rId2"/>
    <sheet name="Arbitragem" sheetId="3" r:id="rId3"/>
    <sheet name="NTN-F" sheetId="4" r:id="rId4"/>
    <sheet name="NTN-B" sheetId="5" r:id="rId5"/>
    <sheet name="Feriado" sheetId="6" r:id="rId6"/>
    <sheet name="Andima_2610" sheetId="7" r:id="rId7"/>
    <sheet name="Andima_030211" sheetId="8" r:id="rId8"/>
    <sheet name="Premios" sheetId="9" r:id="rId9"/>
    <sheet name="Exec. 01" sheetId="10" r:id="rId10"/>
    <sheet name="Exec. 02" sheetId="11" r:id="rId11"/>
    <sheet name="Exec. 03" sheetId="12" r:id="rId12"/>
    <sheet name="Exec. 04" sheetId="13" r:id="rId13"/>
    <sheet name="Exec. 05" sheetId="14" r:id="rId14"/>
    <sheet name="Exec. 06" sheetId="15" r:id="rId15"/>
    <sheet name="Exec. 07" sheetId="16" r:id="rId16"/>
    <sheet name="Exec. 08" sheetId="17" r:id="rId17"/>
    <sheet name="Plan8" sheetId="18" r:id="rId18"/>
    <sheet name="DADOS" sheetId="19" r:id="rId19"/>
    <sheet name="Plan1" sheetId="20" r:id="rId20"/>
    <sheet name="Plan2" sheetId="21" r:id="rId21"/>
  </sheets>
  <definedNames>
    <definedName name="_xlnm.Print_Area" localSheetId="2">'Arbitragem'!$I$1:$N$63</definedName>
    <definedName name="Feriados">'Feriado'!$A$1:$L$62</definedName>
    <definedName name="MBA">'Feriado'!$A$1:$L$62</definedName>
  </definedNames>
  <calcPr fullCalcOnLoad="1"/>
</workbook>
</file>

<file path=xl/sharedStrings.xml><?xml version="1.0" encoding="utf-8"?>
<sst xmlns="http://schemas.openxmlformats.org/spreadsheetml/2006/main" count="1108" uniqueCount="194">
  <si>
    <t>Prêmio=</t>
  </si>
  <si>
    <t>Dias</t>
  </si>
  <si>
    <t>Curva</t>
  </si>
  <si>
    <t>Vértice</t>
  </si>
  <si>
    <t>Ativo</t>
  </si>
  <si>
    <t>coeficientes</t>
  </si>
  <si>
    <t>X4</t>
  </si>
  <si>
    <t>X3</t>
  </si>
  <si>
    <t>X2</t>
  </si>
  <si>
    <t>X1</t>
  </si>
  <si>
    <t>X0</t>
  </si>
  <si>
    <t>PU MAM</t>
  </si>
  <si>
    <t>PU curva</t>
  </si>
  <si>
    <t>Compra</t>
  </si>
  <si>
    <t>Taxa MAM=</t>
  </si>
  <si>
    <t>FIN</t>
  </si>
  <si>
    <t>LOTE</t>
  </si>
  <si>
    <t>HEDGE C.</t>
  </si>
  <si>
    <t>rec papel</t>
  </si>
  <si>
    <t>desp juros</t>
  </si>
  <si>
    <t>resultado</t>
  </si>
  <si>
    <t>Margem</t>
  </si>
  <si>
    <t>Papel</t>
  </si>
  <si>
    <t>Taxa</t>
  </si>
  <si>
    <t>PU</t>
  </si>
  <si>
    <t>result. Hedge</t>
  </si>
  <si>
    <t>pre</t>
  </si>
  <si>
    <t>pos</t>
  </si>
  <si>
    <t>Líquido</t>
  </si>
  <si>
    <t>RESULTADO DO HEDGE EM 02/02/2004 - 134 DU</t>
  </si>
  <si>
    <t>FIN PAPEL</t>
  </si>
  <si>
    <t>BMeF</t>
  </si>
  <si>
    <t>Prazo</t>
  </si>
  <si>
    <t>(número de contratos)</t>
  </si>
  <si>
    <t>RESULTADO DA COMPRA EM 25/07/03</t>
  </si>
  <si>
    <t>PU - LTN</t>
  </si>
  <si>
    <t>juro real</t>
  </si>
  <si>
    <t>result. BMEF</t>
  </si>
  <si>
    <t>resultado LTN</t>
  </si>
  <si>
    <t>ptos</t>
  </si>
  <si>
    <t>CDI no periodo</t>
  </si>
  <si>
    <t>RESULTADO DA ARBITRAGEM ATÉ O RESGATE</t>
  </si>
  <si>
    <t>Juros real</t>
  </si>
  <si>
    <t>c1</t>
  </si>
  <si>
    <t>c2</t>
  </si>
  <si>
    <t>c3</t>
  </si>
  <si>
    <t>c4</t>
  </si>
  <si>
    <t>c5</t>
  </si>
  <si>
    <t>Ativo A</t>
  </si>
  <si>
    <t>Ativo B</t>
  </si>
  <si>
    <t>Spline</t>
  </si>
  <si>
    <t>data</t>
  </si>
  <si>
    <t>BM&amp;F</t>
  </si>
  <si>
    <t>pontos</t>
  </si>
  <si>
    <t>NTN-F</t>
  </si>
  <si>
    <t>CUPOM</t>
  </si>
  <si>
    <t>DU</t>
  </si>
  <si>
    <t>PREÇO</t>
  </si>
  <si>
    <t>PU:</t>
  </si>
  <si>
    <t>NTN-B EM</t>
  </si>
  <si>
    <t>i% a.a.</t>
  </si>
  <si>
    <t>PARCELAS</t>
  </si>
  <si>
    <t>COTACAO (XVPL)=</t>
  </si>
  <si>
    <t>Amanhã</t>
  </si>
  <si>
    <t>AMANHÃ</t>
  </si>
  <si>
    <t>Títulos Públicos Federais</t>
  </si>
  <si>
    <t>Papel PREFIXADO</t>
  </si>
  <si>
    <t>LTN - Taxa (% a.a.)/252</t>
  </si>
  <si>
    <t>Código SELIC</t>
  </si>
  <si>
    <t>Data Base/Emissão</t>
  </si>
  <si>
    <t>Data de Vencimento</t>
  </si>
  <si>
    <t>Tx. Máxima</t>
  </si>
  <si>
    <t>Tx. Mínima</t>
  </si>
  <si>
    <t>Tx. Indicativas</t>
  </si>
  <si>
    <t>Intervalo Indicativo</t>
  </si>
  <si>
    <t>Mínimo (D0)</t>
  </si>
  <si>
    <t>Máximo (D0)</t>
  </si>
  <si>
    <t>Mínimo (D+1)</t>
  </si>
  <si>
    <t>Máximo (D+1)</t>
  </si>
  <si>
    <t>--</t>
  </si>
  <si>
    <t>Papel IPCA</t>
  </si>
  <si>
    <t>NTN-B - Taxa (% a.a.)/252</t>
  </si>
  <si>
    <t>NTN-F - Taxa (% a.a.)/252</t>
  </si>
  <si>
    <t>Papel POS-SELIC</t>
  </si>
  <si>
    <t>LFT - Rentabilidade (% a.a.)/252</t>
  </si>
  <si>
    <t>VNA</t>
  </si>
  <si>
    <t>Nome</t>
  </si>
  <si>
    <t>Papel IGP-M</t>
  </si>
  <si>
    <t>NTN-C - Taxa (% a.a.)/252</t>
  </si>
  <si>
    <t>F-1/1/2011</t>
  </si>
  <si>
    <t>F-1/1/2012</t>
  </si>
  <si>
    <t>F-1/1/2013</t>
  </si>
  <si>
    <t>F-1/1/2014</t>
  </si>
  <si>
    <t>F-1/1/2017</t>
  </si>
  <si>
    <t>F-1/1/2021</t>
  </si>
  <si>
    <t>pz</t>
  </si>
  <si>
    <t>LTN</t>
  </si>
  <si>
    <t>NTN-B</t>
  </si>
  <si>
    <t>PRÊMIO</t>
  </si>
  <si>
    <t>Du</t>
  </si>
  <si>
    <t>LFT</t>
  </si>
  <si>
    <t>Cotação</t>
  </si>
  <si>
    <t>TAXA</t>
  </si>
  <si>
    <t>LIQUIDAÇÃO</t>
  </si>
  <si>
    <t>JUROS</t>
  </si>
  <si>
    <t>CUPOM DE JUROS</t>
  </si>
  <si>
    <t>VALOR NOMINAL</t>
  </si>
  <si>
    <t>FLUXO</t>
  </si>
  <si>
    <t>DT VENC.</t>
  </si>
  <si>
    <t>DT. LIQ.</t>
  </si>
  <si>
    <t>VR. FUTURO</t>
  </si>
  <si>
    <t>VR. PRESENTE</t>
  </si>
  <si>
    <t>VENCIMENTO</t>
  </si>
  <si>
    <t>VN</t>
  </si>
  <si>
    <t>COTAÇÃO</t>
  </si>
  <si>
    <t>cdi</t>
  </si>
  <si>
    <t>DATA</t>
  </si>
  <si>
    <t>CDI</t>
  </si>
  <si>
    <t>PU ANT. AJ.</t>
  </si>
  <si>
    <t>AJUSTE DIÁRIO</t>
  </si>
  <si>
    <t>ACUMLADO</t>
  </si>
  <si>
    <t>DI 1 DIA - BM&amp;F</t>
  </si>
  <si>
    <t>Date</t>
  </si>
  <si>
    <t>PX_LAST</t>
  </si>
  <si>
    <t>BZDIOVRA Index</t>
  </si>
  <si>
    <t>hoje</t>
  </si>
  <si>
    <t>***</t>
  </si>
  <si>
    <t>CONT</t>
  </si>
  <si>
    <t>COMPRADOR</t>
  </si>
  <si>
    <t>BZSELICA Index</t>
  </si>
  <si>
    <t>SELIC</t>
  </si>
  <si>
    <t>BM$F</t>
  </si>
  <si>
    <t>DU MÊS</t>
  </si>
  <si>
    <t>DU LIQ</t>
  </si>
  <si>
    <t>PRO RATA</t>
  </si>
  <si>
    <t>PROJ IPCA DO MÊS (%)</t>
  </si>
  <si>
    <t>F-1/1/2015</t>
  </si>
  <si>
    <t>Taxa (%)</t>
  </si>
  <si>
    <t>VNA (15/10)</t>
  </si>
  <si>
    <t>DU I</t>
  </si>
  <si>
    <t>DU F</t>
  </si>
  <si>
    <t>DESVIO</t>
  </si>
  <si>
    <t>PREV.</t>
  </si>
  <si>
    <t>Total:</t>
  </si>
  <si>
    <t>03/Fev/2011</t>
  </si>
  <si>
    <t>Quando uma taxa for interpolada será apresentada em negrito.</t>
  </si>
  <si>
    <t>Tx. Compra</t>
  </si>
  <si>
    <t>PU Compra</t>
  </si>
  <si>
    <t>Tx. Venda</t>
  </si>
  <si>
    <t>PU Venda</t>
  </si>
  <si>
    <t>Rentabilidade</t>
  </si>
  <si>
    <t>Custo Carregamento</t>
  </si>
  <si>
    <t xml:space="preserve">Resultado Liquido </t>
  </si>
  <si>
    <t>Du Cpra</t>
  </si>
  <si>
    <t>Du Vda</t>
  </si>
  <si>
    <t>Data 1</t>
  </si>
  <si>
    <t>Data 2</t>
  </si>
  <si>
    <t>Var CDI</t>
  </si>
  <si>
    <t>Carteira</t>
  </si>
  <si>
    <t>Financeiro Venda</t>
  </si>
  <si>
    <t/>
  </si>
  <si>
    <t>Última</t>
  </si>
  <si>
    <t>Fechamento</t>
  </si>
  <si>
    <t>Neg</t>
  </si>
  <si>
    <t>Est</t>
  </si>
  <si>
    <t>Cp</t>
  </si>
  <si>
    <t>Vd</t>
  </si>
  <si>
    <t>Abertura</t>
  </si>
  <si>
    <t xml:space="preserve"> </t>
  </si>
  <si>
    <t>Vencimento</t>
  </si>
  <si>
    <t>ODF4 Comdty</t>
  </si>
  <si>
    <t>ODN4 Comdty</t>
  </si>
  <si>
    <t>ODf5 Comdty</t>
  </si>
  <si>
    <t>ODn5 Comdty</t>
  </si>
  <si>
    <t>Lote</t>
  </si>
  <si>
    <t>selic</t>
  </si>
  <si>
    <t>Financeiro</t>
  </si>
  <si>
    <t>PU BM&amp;F</t>
  </si>
  <si>
    <t>Contratos</t>
  </si>
  <si>
    <t>casada</t>
  </si>
  <si>
    <t>hedge</t>
  </si>
  <si>
    <t>**</t>
  </si>
  <si>
    <t>Resultado liq.</t>
  </si>
  <si>
    <t>Carreg</t>
  </si>
  <si>
    <t>Resgate</t>
  </si>
  <si>
    <t>Casada</t>
  </si>
  <si>
    <t>Hedge</t>
  </si>
  <si>
    <t>Especulação</t>
  </si>
  <si>
    <t>01/01/2013 (H)</t>
  </si>
  <si>
    <t>Fator</t>
  </si>
  <si>
    <t>pós</t>
  </si>
  <si>
    <t>01/01/2013 (S)</t>
  </si>
  <si>
    <t>VENC</t>
  </si>
  <si>
    <t>Ajuste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</si>
</sst>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0"/>
    <numFmt numFmtId="169" formatCode="0.0"/>
    <numFmt numFmtId="170" formatCode="_(* #,##0_);_(* \(#,##0\);_(* &quot;-&quot;??_);_(@_)"/>
    <numFmt numFmtId="171" formatCode="_(* #,##0.000000_);_(* \(#,##0.000000\);_(* &quot;-&quot;??????_);_(@_)"/>
    <numFmt numFmtId="172" formatCode="0.0000"/>
    <numFmt numFmtId="173" formatCode="0.00000000"/>
    <numFmt numFmtId="174" formatCode="0.000000000"/>
    <numFmt numFmtId="175" formatCode="0.00000000000"/>
    <numFmt numFmtId="176" formatCode="0.000"/>
    <numFmt numFmtId="177" formatCode="#,##0.000_);[Red]\(#,##0.000\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General_)"/>
    <numFmt numFmtId="185" formatCode="#,##0.00000000_);[Red]\(#,##0.00000000\)"/>
    <numFmt numFmtId="186" formatCode="#,##0.000000"/>
    <numFmt numFmtId="187" formatCode="#,##0.000000_);[Red]\(#,##0.000000\)"/>
    <numFmt numFmtId="188" formatCode="0.00_)"/>
    <numFmt numFmtId="189" formatCode="0.0000000_)"/>
    <numFmt numFmtId="190" formatCode="#,##0.0000"/>
    <numFmt numFmtId="191" formatCode="_(* #,##0.0000_);_(* \(#,##0.0000\);_(* &quot;-&quot;????_);_(@_)"/>
    <numFmt numFmtId="192" formatCode="#,##0.000000000000"/>
    <numFmt numFmtId="193" formatCode="000000"/>
    <numFmt numFmtId="194" formatCode="_(* #,##0_);_(* \(#,##0\);_(* &quot;-&quot;????_);_(@_)"/>
    <numFmt numFmtId="195" formatCode="_(* #,##0.0_);_(* \(#,##0.0\);_(* &quot;-&quot;??_);_(@_)"/>
    <numFmt numFmtId="196" formatCode="[$-416]dddd\,\ d&quot; de &quot;mmmm&quot; de &quot;yyyy"/>
    <numFmt numFmtId="197" formatCode="[$-416]mmmm\-yy;@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0.0000000"/>
    <numFmt numFmtId="203" formatCode="0.00000"/>
    <numFmt numFmtId="204" formatCode="#,##0.00000000000000"/>
    <numFmt numFmtId="205" formatCode="_-* #,##0.00000_-;\-* #,##0.00000_-;_-* &quot;-&quot;?????_-;_-@_-"/>
    <numFmt numFmtId="206" formatCode="#,##0.0000000000000000"/>
    <numFmt numFmtId="207" formatCode="_-* #,##0.000000_-;\-* #,##0.000000_-;_-* &quot;-&quot;??????_-;_-@_-"/>
    <numFmt numFmtId="208" formatCode="_-* #,##0.00000000_-;\-* #,##0.00000000_-;_-* &quot;-&quot;????????_-;_-@_-"/>
    <numFmt numFmtId="209" formatCode="0.0%"/>
    <numFmt numFmtId="210" formatCode="_-* #,##0.0000_-;\-* #,##0.0000_-;_-* &quot;-&quot;????_-;_-@_-"/>
    <numFmt numFmtId="211" formatCode="_-* #,##0.0000000_-;\-* #,##0.0000000_-;_-* &quot;-&quot;???????_-;_-@_-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_-* #,##0.000000_-;\-* #,##0.000000_-;_-* &quot;-&quot;??_-;_-@_-"/>
    <numFmt numFmtId="216" formatCode="_-* #,##0.0000000_-;\-* #,##0.0000000_-;_-* &quot;-&quot;??_-;_-@_-"/>
    <numFmt numFmtId="217" formatCode="_-* #,##0.00000000_-;\-* #,##0.00000000_-;_-* &quot;-&quot;??_-;_-@_-"/>
    <numFmt numFmtId="218" formatCode="_-* #,##0.000000000_-;\-* #,##0.000000000_-;_-* &quot;-&quot;??_-;_-@_-"/>
  </numFmts>
  <fonts count="8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Courier"/>
      <family val="3"/>
    </font>
    <font>
      <b/>
      <sz val="10"/>
      <name val="Courier New"/>
      <family val="3"/>
    </font>
    <font>
      <sz val="10"/>
      <color indexed="12"/>
      <name val="Courier New"/>
      <family val="3"/>
    </font>
    <font>
      <b/>
      <sz val="10"/>
      <color indexed="53"/>
      <name val="Courier New"/>
      <family val="3"/>
    </font>
    <font>
      <sz val="10"/>
      <color indexed="9"/>
      <name val="Courier New"/>
      <family val="3"/>
    </font>
    <font>
      <b/>
      <sz val="10"/>
      <color indexed="12"/>
      <name val="Courier New"/>
      <family val="3"/>
    </font>
    <font>
      <sz val="10"/>
      <color indexed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"/>
      <color indexed="22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16.25"/>
      <color indexed="8"/>
      <name val="Arial"/>
      <family val="0"/>
    </font>
    <font>
      <sz val="7"/>
      <color indexed="8"/>
      <name val="Arial"/>
      <family val="0"/>
    </font>
    <font>
      <b/>
      <sz val="18"/>
      <color indexed="8"/>
      <name val="Calibri"/>
      <family val="0"/>
    </font>
    <font>
      <sz val="5.95"/>
      <color indexed="8"/>
      <name val="Calibri"/>
      <family val="0"/>
    </font>
    <font>
      <sz val="12"/>
      <color indexed="8"/>
      <name val="Arial"/>
      <family val="0"/>
    </font>
    <font>
      <b/>
      <sz val="11.75"/>
      <color indexed="8"/>
      <name val="Arial"/>
      <family val="0"/>
    </font>
    <font>
      <sz val="8"/>
      <color indexed="8"/>
      <name val="Arial"/>
      <family val="0"/>
    </font>
    <font>
      <sz val="15.75"/>
      <color indexed="8"/>
      <name val="Arial"/>
      <family val="0"/>
    </font>
    <font>
      <sz val="4.35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6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167" fontId="0" fillId="0" borderId="0" xfId="64" applyFont="1" applyAlignment="1">
      <alignment/>
    </xf>
    <xf numFmtId="10" fontId="0" fillId="0" borderId="0" xfId="53" applyNumberFormat="1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64" applyNumberFormat="1" applyFont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70" fontId="0" fillId="33" borderId="0" xfId="0" applyNumberFormat="1" applyFill="1" applyAlignment="1">
      <alignment/>
    </xf>
    <xf numFmtId="0" fontId="0" fillId="0" borderId="0" xfId="0" applyAlignment="1" quotePrefix="1">
      <alignment horizontal="left"/>
    </xf>
    <xf numFmtId="177" fontId="3" fillId="0" borderId="0" xfId="64" applyNumberFormat="1" applyFont="1" applyBorder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64" applyNumberFormat="1" applyFont="1" applyAlignment="1">
      <alignment/>
    </xf>
    <xf numFmtId="180" fontId="0" fillId="0" borderId="0" xfId="0" applyNumberFormat="1" applyAlignment="1">
      <alignment/>
    </xf>
    <xf numFmtId="181" fontId="0" fillId="0" borderId="0" xfId="64" applyNumberFormat="1" applyFont="1" applyAlignment="1">
      <alignment/>
    </xf>
    <xf numFmtId="182" fontId="0" fillId="0" borderId="0" xfId="64" applyNumberFormat="1" applyFont="1" applyAlignment="1">
      <alignment/>
    </xf>
    <xf numFmtId="170" fontId="0" fillId="0" borderId="0" xfId="64" applyNumberFormat="1" applyFont="1" applyBorder="1" applyAlignment="1">
      <alignment/>
    </xf>
    <xf numFmtId="167" fontId="0" fillId="0" borderId="0" xfId="64" applyFont="1" applyBorder="1" applyAlignment="1">
      <alignment/>
    </xf>
    <xf numFmtId="14" fontId="0" fillId="34" borderId="0" xfId="0" applyNumberFormat="1" applyFill="1" applyAlignment="1">
      <alignment/>
    </xf>
    <xf numFmtId="170" fontId="0" fillId="34" borderId="0" xfId="64" applyNumberFormat="1" applyFont="1" applyFill="1" applyBorder="1" applyAlignment="1">
      <alignment/>
    </xf>
    <xf numFmtId="167" fontId="0" fillId="34" borderId="0" xfId="64" applyFont="1" applyFill="1" applyBorder="1" applyAlignment="1">
      <alignment/>
    </xf>
    <xf numFmtId="167" fontId="0" fillId="34" borderId="0" xfId="64" applyFont="1" applyFill="1" applyAlignment="1">
      <alignment/>
    </xf>
    <xf numFmtId="0" fontId="0" fillId="34" borderId="0" xfId="0" applyFill="1" applyAlignment="1">
      <alignment/>
    </xf>
    <xf numFmtId="167" fontId="0" fillId="34" borderId="0" xfId="64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67" fontId="0" fillId="35" borderId="0" xfId="64" applyFont="1" applyFill="1" applyAlignment="1">
      <alignment/>
    </xf>
    <xf numFmtId="181" fontId="0" fillId="0" borderId="0" xfId="0" applyNumberFormat="1" applyAlignment="1">
      <alignment/>
    </xf>
    <xf numFmtId="167" fontId="0" fillId="0" borderId="0" xfId="53" applyNumberFormat="1" applyFont="1" applyAlignment="1">
      <alignment/>
    </xf>
    <xf numFmtId="178" fontId="0" fillId="0" borderId="0" xfId="64" applyNumberFormat="1" applyFont="1" applyFill="1" applyAlignment="1">
      <alignment/>
    </xf>
    <xf numFmtId="170" fontId="0" fillId="35" borderId="0" xfId="64" applyNumberFormat="1" applyFont="1" applyFill="1" applyAlignment="1">
      <alignment/>
    </xf>
    <xf numFmtId="180" fontId="0" fillId="0" borderId="0" xfId="64" applyNumberFormat="1" applyFont="1" applyAlignment="1">
      <alignment/>
    </xf>
    <xf numFmtId="167" fontId="0" fillId="35" borderId="0" xfId="0" applyNumberFormat="1" applyFill="1" applyAlignment="1">
      <alignment/>
    </xf>
    <xf numFmtId="180" fontId="0" fillId="35" borderId="0" xfId="64" applyNumberFormat="1" applyFont="1" applyFill="1" applyAlignment="1">
      <alignment/>
    </xf>
    <xf numFmtId="181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5" fontId="0" fillId="37" borderId="0" xfId="64" applyNumberFormat="1" applyFont="1" applyFill="1" applyBorder="1" applyAlignment="1" applyProtection="1">
      <alignment/>
      <protection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Border="1" applyAlignment="1" applyProtection="1">
      <alignment horizontal="left"/>
      <protection/>
    </xf>
    <xf numFmtId="184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Border="1" applyAlignment="1" applyProtection="1">
      <alignment/>
      <protection/>
    </xf>
    <xf numFmtId="187" fontId="0" fillId="0" borderId="0" xfId="64" applyNumberFormat="1" applyFont="1" applyFill="1" applyBorder="1" applyAlignment="1" applyProtection="1">
      <alignment/>
      <protection/>
    </xf>
    <xf numFmtId="38" fontId="0" fillId="0" borderId="0" xfId="64" applyNumberFormat="1" applyFont="1" applyFill="1" applyBorder="1" applyAlignment="1" applyProtection="1">
      <alignment/>
      <protection/>
    </xf>
    <xf numFmtId="14" fontId="4" fillId="37" borderId="0" xfId="0" applyNumberFormat="1" applyFont="1" applyFill="1" applyBorder="1" applyAlignment="1">
      <alignment horizontal="center"/>
    </xf>
    <xf numFmtId="184" fontId="0" fillId="0" borderId="0" xfId="0" applyNumberFormat="1" applyFont="1" applyBorder="1" applyAlignment="1" applyProtection="1">
      <alignment horizontal="right"/>
      <protection/>
    </xf>
    <xf numFmtId="185" fontId="0" fillId="0" borderId="0" xfId="64" applyNumberFormat="1" applyFont="1" applyFill="1" applyBorder="1" applyAlignment="1" applyProtection="1">
      <alignment horizontal="right"/>
      <protection/>
    </xf>
    <xf numFmtId="184" fontId="0" fillId="38" borderId="0" xfId="0" applyNumberFormat="1" applyFill="1" applyBorder="1" applyAlignment="1">
      <alignment/>
    </xf>
    <xf numFmtId="14" fontId="0" fillId="0" borderId="0" xfId="0" applyNumberFormat="1" applyBorder="1" applyAlignment="1" applyProtection="1">
      <alignment horizontal="left"/>
      <protection/>
    </xf>
    <xf numFmtId="186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Font="1" applyBorder="1" applyAlignment="1">
      <alignment horizontal="right"/>
    </xf>
    <xf numFmtId="184" fontId="5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7" fillId="0" borderId="0" xfId="0" applyNumberFormat="1" applyFont="1" applyAlignment="1">
      <alignment/>
    </xf>
    <xf numFmtId="184" fontId="0" fillId="0" borderId="0" xfId="0" applyNumberFormat="1" applyAlignment="1">
      <alignment/>
    </xf>
    <xf numFmtId="186" fontId="0" fillId="0" borderId="13" xfId="0" applyNumberFormat="1" applyBorder="1" applyAlignment="1">
      <alignment/>
    </xf>
    <xf numFmtId="14" fontId="0" fillId="39" borderId="0" xfId="0" applyNumberFormat="1" applyFill="1" applyBorder="1" applyAlignment="1">
      <alignment horizontal="center"/>
    </xf>
    <xf numFmtId="184" fontId="0" fillId="0" borderId="14" xfId="0" applyNumberForma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14" xfId="0" applyNumberFormat="1" applyFont="1" applyBorder="1" applyAlignment="1" applyProtection="1">
      <alignment horizontal="center"/>
      <protection/>
    </xf>
    <xf numFmtId="184" fontId="0" fillId="37" borderId="14" xfId="0" applyNumberFormat="1" applyFont="1" applyFill="1" applyBorder="1" applyAlignment="1">
      <alignment/>
    </xf>
    <xf numFmtId="184" fontId="9" fillId="0" borderId="0" xfId="0" applyNumberFormat="1" applyFont="1" applyAlignment="1">
      <alignment/>
    </xf>
    <xf numFmtId="188" fontId="0" fillId="0" borderId="14" xfId="0" applyNumberFormat="1" applyBorder="1" applyAlignment="1" applyProtection="1">
      <alignment/>
      <protection/>
    </xf>
    <xf numFmtId="189" fontId="0" fillId="0" borderId="0" xfId="0" applyNumberFormat="1" applyBorder="1" applyAlignment="1" applyProtection="1">
      <alignment/>
      <protection/>
    </xf>
    <xf numFmtId="186" fontId="0" fillId="0" borderId="15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84" fontId="0" fillId="0" borderId="16" xfId="0" applyNumberFormat="1" applyBorder="1" applyAlignment="1">
      <alignment/>
    </xf>
    <xf numFmtId="184" fontId="0" fillId="0" borderId="16" xfId="0" applyNumberFormat="1" applyFont="1" applyBorder="1" applyAlignment="1" applyProtection="1">
      <alignment horizontal="right"/>
      <protection/>
    </xf>
    <xf numFmtId="184" fontId="0" fillId="0" borderId="17" xfId="0" applyNumberFormat="1" applyBorder="1" applyAlignment="1">
      <alignment/>
    </xf>
    <xf numFmtId="184" fontId="0" fillId="37" borderId="0" xfId="0" applyNumberFormat="1" applyFill="1" applyBorder="1" applyAlignment="1" applyProtection="1">
      <alignment/>
      <protection/>
    </xf>
    <xf numFmtId="184" fontId="0" fillId="37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4" xfId="0" applyNumberFormat="1" applyFont="1" applyBorder="1" applyAlignment="1">
      <alignment/>
    </xf>
    <xf numFmtId="14" fontId="0" fillId="37" borderId="0" xfId="0" applyNumberFormat="1" applyFill="1" applyBorder="1" applyAlignment="1">
      <alignment horizontal="center"/>
    </xf>
    <xf numFmtId="184" fontId="0" fillId="0" borderId="13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3" xfId="0" applyNumberForma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184" fontId="0" fillId="0" borderId="0" xfId="0" applyNumberFormat="1" applyFill="1" applyAlignment="1">
      <alignment/>
    </xf>
    <xf numFmtId="0" fontId="11" fillId="40" borderId="18" xfId="51" applyNumberFormat="1" applyFont="1" applyFill="1" applyBorder="1" applyAlignment="1">
      <alignment/>
      <protection/>
    </xf>
    <xf numFmtId="14" fontId="12" fillId="40" borderId="19" xfId="51" applyNumberFormat="1" applyFont="1" applyFill="1" applyBorder="1" applyAlignment="1">
      <alignment/>
      <protection/>
    </xf>
    <xf numFmtId="190" fontId="11" fillId="40" borderId="19" xfId="51" applyNumberFormat="1" applyFont="1" applyFill="1" applyBorder="1" applyAlignment="1">
      <alignment/>
      <protection/>
    </xf>
    <xf numFmtId="0" fontId="11" fillId="40" borderId="19" xfId="51" applyFont="1" applyFill="1" applyBorder="1" applyAlignment="1">
      <alignment horizontal="right"/>
      <protection/>
    </xf>
    <xf numFmtId="0" fontId="11" fillId="40" borderId="20" xfId="51" applyFont="1" applyFill="1" applyBorder="1" applyAlignment="1">
      <alignment horizontal="right"/>
      <protection/>
    </xf>
    <xf numFmtId="0" fontId="10" fillId="0" borderId="0" xfId="51" applyAlignment="1">
      <alignment/>
      <protection/>
    </xf>
    <xf numFmtId="0" fontId="11" fillId="0" borderId="21" xfId="51" applyNumberFormat="1" applyFont="1" applyBorder="1" applyAlignment="1">
      <alignment/>
      <protection/>
    </xf>
    <xf numFmtId="14" fontId="11" fillId="0" borderId="19" xfId="51" applyNumberFormat="1" applyFont="1" applyBorder="1" applyAlignment="1">
      <alignment/>
      <protection/>
    </xf>
    <xf numFmtId="190" fontId="11" fillId="0" borderId="19" xfId="51" applyNumberFormat="1" applyFont="1" applyBorder="1" applyAlignment="1">
      <alignment/>
      <protection/>
    </xf>
    <xf numFmtId="0" fontId="11" fillId="0" borderId="19" xfId="51" applyFont="1" applyBorder="1" applyAlignment="1">
      <alignment/>
      <protection/>
    </xf>
    <xf numFmtId="0" fontId="11" fillId="0" borderId="22" xfId="51" applyFont="1" applyBorder="1" applyAlignment="1">
      <alignment/>
      <protection/>
    </xf>
    <xf numFmtId="0" fontId="11" fillId="0" borderId="23" xfId="0" applyFont="1" applyBorder="1" applyAlignment="1">
      <alignment horizontal="center" vertical="center" wrapText="1"/>
    </xf>
    <xf numFmtId="0" fontId="10" fillId="0" borderId="24" xfId="51" applyNumberFormat="1" applyFont="1" applyBorder="1" applyAlignment="1">
      <alignment horizontal="center"/>
      <protection/>
    </xf>
    <xf numFmtId="14" fontId="10" fillId="0" borderId="24" xfId="51" applyNumberFormat="1" applyFont="1" applyBorder="1" applyAlignment="1">
      <alignment horizontal="center"/>
      <protection/>
    </xf>
    <xf numFmtId="190" fontId="10" fillId="0" borderId="24" xfId="51" applyNumberFormat="1" applyFont="1" applyBorder="1" applyAlignment="1">
      <alignment horizontal="center"/>
      <protection/>
    </xf>
    <xf numFmtId="186" fontId="10" fillId="0" borderId="24" xfId="51" applyNumberFormat="1" applyFont="1" applyBorder="1" applyAlignment="1">
      <alignment horizontal="center"/>
      <protection/>
    </xf>
    <xf numFmtId="0" fontId="10" fillId="0" borderId="0" xfId="51" applyFont="1" applyAlignment="1">
      <alignment/>
      <protection/>
    </xf>
    <xf numFmtId="0" fontId="10" fillId="0" borderId="25" xfId="51" applyNumberFormat="1" applyFont="1" applyBorder="1" applyAlignment="1">
      <alignment horizontal="center"/>
      <protection/>
    </xf>
    <xf numFmtId="14" fontId="10" fillId="0" borderId="25" xfId="51" applyNumberFormat="1" applyFont="1" applyBorder="1" applyAlignment="1">
      <alignment horizontal="center"/>
      <protection/>
    </xf>
    <xf numFmtId="190" fontId="10" fillId="0" borderId="25" xfId="51" applyNumberFormat="1" applyFont="1" applyBorder="1" applyAlignment="1">
      <alignment horizontal="center"/>
      <protection/>
    </xf>
    <xf numFmtId="186" fontId="10" fillId="0" borderId="25" xfId="51" applyNumberFormat="1" applyFont="1" applyBorder="1" applyAlignment="1">
      <alignment horizontal="center"/>
      <protection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10" fillId="0" borderId="0" xfId="51" applyNumberFormat="1" applyAlignment="1">
      <alignment/>
      <protection/>
    </xf>
    <xf numFmtId="14" fontId="10" fillId="0" borderId="0" xfId="51" applyNumberFormat="1" applyAlignment="1">
      <alignment/>
      <protection/>
    </xf>
    <xf numFmtId="190" fontId="10" fillId="0" borderId="0" xfId="51" applyNumberFormat="1" applyAlignment="1">
      <alignment/>
      <protection/>
    </xf>
    <xf numFmtId="190" fontId="10" fillId="0" borderId="0" xfId="51" applyNumberFormat="1" applyBorder="1" applyAlignment="1">
      <alignment/>
      <protection/>
    </xf>
    <xf numFmtId="14" fontId="15" fillId="0" borderId="0" xfId="0" applyNumberFormat="1" applyFont="1" applyAlignment="1">
      <alignment/>
    </xf>
    <xf numFmtId="0" fontId="16" fillId="33" borderId="0" xfId="0" applyFont="1" applyFill="1" applyAlignment="1">
      <alignment horizontal="center"/>
    </xf>
    <xf numFmtId="0" fontId="17" fillId="0" borderId="23" xfId="0" applyFont="1" applyBorder="1" applyAlignment="1">
      <alignment/>
    </xf>
    <xf numFmtId="14" fontId="16" fillId="0" borderId="0" xfId="0" applyNumberFormat="1" applyFont="1" applyAlignment="1">
      <alignment horizontal="center"/>
    </xf>
    <xf numFmtId="0" fontId="16" fillId="33" borderId="0" xfId="0" applyFont="1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33" borderId="0" xfId="0" applyNumberFormat="1" applyFill="1" applyAlignment="1">
      <alignment horizontal="center"/>
    </xf>
    <xf numFmtId="170" fontId="2" fillId="0" borderId="0" xfId="64" applyNumberFormat="1" applyFont="1" applyAlignment="1">
      <alignment/>
    </xf>
    <xf numFmtId="0" fontId="2" fillId="0" borderId="0" xfId="0" applyFont="1" applyAlignment="1">
      <alignment horizontal="center"/>
    </xf>
    <xf numFmtId="170" fontId="17" fillId="0" borderId="23" xfId="64" applyNumberFormat="1" applyFont="1" applyBorder="1" applyAlignment="1">
      <alignment/>
    </xf>
    <xf numFmtId="178" fontId="17" fillId="0" borderId="23" xfId="0" applyNumberFormat="1" applyFont="1" applyBorder="1" applyAlignment="1">
      <alignment/>
    </xf>
    <xf numFmtId="179" fontId="17" fillId="0" borderId="23" xfId="0" applyNumberFormat="1" applyFont="1" applyBorder="1" applyAlignment="1">
      <alignment/>
    </xf>
    <xf numFmtId="167" fontId="17" fillId="34" borderId="23" xfId="64" applyFont="1" applyFill="1" applyBorder="1" applyAlignment="1">
      <alignment horizontal="center"/>
    </xf>
    <xf numFmtId="168" fontId="17" fillId="0" borderId="23" xfId="0" applyNumberFormat="1" applyFont="1" applyBorder="1" applyAlignment="1">
      <alignment/>
    </xf>
    <xf numFmtId="179" fontId="17" fillId="0" borderId="23" xfId="64" applyNumberFormat="1" applyFont="1" applyBorder="1" applyAlignment="1">
      <alignment/>
    </xf>
    <xf numFmtId="168" fontId="15" fillId="33" borderId="0" xfId="0" applyNumberFormat="1" applyFont="1" applyFill="1" applyAlignment="1">
      <alignment/>
    </xf>
    <xf numFmtId="2" fontId="15" fillId="33" borderId="0" xfId="0" applyNumberFormat="1" applyFont="1" applyFill="1" applyAlignment="1">
      <alignment/>
    </xf>
    <xf numFmtId="168" fontId="15" fillId="0" borderId="23" xfId="0" applyNumberFormat="1" applyFont="1" applyBorder="1" applyAlignment="1">
      <alignment/>
    </xf>
    <xf numFmtId="170" fontId="18" fillId="0" borderId="23" xfId="64" applyNumberFormat="1" applyFont="1" applyBorder="1" applyAlignment="1">
      <alignment/>
    </xf>
    <xf numFmtId="168" fontId="15" fillId="0" borderId="23" xfId="0" applyNumberFormat="1" applyFont="1" applyFill="1" applyBorder="1" applyAlignment="1">
      <alignment/>
    </xf>
    <xf numFmtId="179" fontId="15" fillId="33" borderId="23" xfId="64" applyNumberFormat="1" applyFont="1" applyFill="1" applyBorder="1" applyAlignment="1">
      <alignment/>
    </xf>
    <xf numFmtId="0" fontId="20" fillId="0" borderId="0" xfId="0" applyFont="1" applyAlignment="1">
      <alignment/>
    </xf>
    <xf numFmtId="2" fontId="19" fillId="33" borderId="0" xfId="0" applyNumberFormat="1" applyFont="1" applyFill="1" applyAlignment="1">
      <alignment/>
    </xf>
    <xf numFmtId="1" fontId="19" fillId="33" borderId="0" xfId="0" applyNumberFormat="1" applyFont="1" applyFill="1" applyAlignment="1">
      <alignment/>
    </xf>
    <xf numFmtId="172" fontId="19" fillId="33" borderId="0" xfId="0" applyNumberFormat="1" applyFont="1" applyFill="1" applyAlignment="1">
      <alignment/>
    </xf>
    <xf numFmtId="20" fontId="0" fillId="0" borderId="0" xfId="0" applyNumberFormat="1" applyAlignment="1">
      <alignment/>
    </xf>
    <xf numFmtId="178" fontId="17" fillId="0" borderId="23" xfId="64" applyNumberFormat="1" applyFont="1" applyBorder="1" applyAlignment="1">
      <alignment horizontal="center"/>
    </xf>
    <xf numFmtId="181" fontId="17" fillId="34" borderId="23" xfId="64" applyNumberFormat="1" applyFont="1" applyFill="1" applyBorder="1" applyAlignment="1">
      <alignment horizontal="center"/>
    </xf>
    <xf numFmtId="2" fontId="15" fillId="35" borderId="0" xfId="0" applyNumberFormat="1" applyFont="1" applyFill="1" applyAlignment="1">
      <alignment/>
    </xf>
    <xf numFmtId="168" fontId="15" fillId="35" borderId="0" xfId="0" applyNumberFormat="1" applyFont="1" applyFill="1" applyAlignment="1">
      <alignment/>
    </xf>
    <xf numFmtId="14" fontId="0" fillId="35" borderId="0" xfId="0" applyNumberFormat="1" applyFill="1" applyAlignment="1">
      <alignment/>
    </xf>
    <xf numFmtId="0" fontId="21" fillId="0" borderId="0" xfId="0" applyFont="1" applyAlignment="1">
      <alignment horizontal="center"/>
    </xf>
    <xf numFmtId="170" fontId="0" fillId="33" borderId="0" xfId="64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0" fontId="1" fillId="41" borderId="0" xfId="0" applyFont="1" applyFill="1" applyAlignment="1">
      <alignment/>
    </xf>
    <xf numFmtId="169" fontId="1" fillId="42" borderId="0" xfId="0" applyNumberFormat="1" applyFont="1" applyFill="1" applyAlignment="1">
      <alignment/>
    </xf>
    <xf numFmtId="1" fontId="0" fillId="0" borderId="0" xfId="0" applyNumberFormat="1" applyAlignment="1">
      <alignment/>
    </xf>
    <xf numFmtId="169" fontId="21" fillId="35" borderId="23" xfId="0" applyNumberFormat="1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4" fontId="0" fillId="0" borderId="29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30" xfId="0" applyNumberFormat="1" applyBorder="1" applyAlignment="1">
      <alignment/>
    </xf>
    <xf numFmtId="167" fontId="0" fillId="0" borderId="30" xfId="64" applyFont="1" applyBorder="1" applyAlignment="1">
      <alignment/>
    </xf>
    <xf numFmtId="14" fontId="0" fillId="0" borderId="31" xfId="0" applyNumberFormat="1" applyBorder="1" applyAlignment="1">
      <alignment/>
    </xf>
    <xf numFmtId="2" fontId="1" fillId="41" borderId="0" xfId="0" applyNumberFormat="1" applyFont="1" applyFill="1" applyAlignment="1">
      <alignment/>
    </xf>
    <xf numFmtId="183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3" fontId="15" fillId="33" borderId="0" xfId="0" applyNumberFormat="1" applyFont="1" applyFill="1" applyAlignment="1">
      <alignment/>
    </xf>
    <xf numFmtId="176" fontId="15" fillId="43" borderId="0" xfId="0" applyNumberFormat="1" applyFont="1" applyFill="1" applyAlignment="1">
      <alignment/>
    </xf>
    <xf numFmtId="167" fontId="15" fillId="43" borderId="23" xfId="64" applyFont="1" applyFill="1" applyBorder="1" applyAlignment="1">
      <alignment/>
    </xf>
    <xf numFmtId="193" fontId="10" fillId="0" borderId="24" xfId="51" applyNumberFormat="1" applyFont="1" applyBorder="1" applyAlignment="1">
      <alignment horizontal="center"/>
      <protection/>
    </xf>
    <xf numFmtId="193" fontId="10" fillId="0" borderId="25" xfId="51" applyNumberFormat="1" applyFont="1" applyBorder="1" applyAlignment="1">
      <alignment horizontal="center"/>
      <protection/>
    </xf>
    <xf numFmtId="0" fontId="11" fillId="40" borderId="23" xfId="51" applyNumberFormat="1" applyFont="1" applyFill="1" applyBorder="1" applyAlignment="1">
      <alignment horizontal="center"/>
      <protection/>
    </xf>
    <xf numFmtId="190" fontId="11" fillId="0" borderId="32" xfId="51" applyNumberFormat="1" applyFont="1" applyBorder="1" applyAlignment="1">
      <alignment horizontal="center" vertical="center" wrapText="1"/>
      <protection/>
    </xf>
    <xf numFmtId="181" fontId="0" fillId="0" borderId="0" xfId="64" applyNumberFormat="1" applyFont="1" applyAlignment="1">
      <alignment horizontal="center"/>
    </xf>
    <xf numFmtId="190" fontId="10" fillId="0" borderId="0" xfId="51" applyNumberFormat="1" applyFont="1" applyFill="1" applyBorder="1" applyAlignment="1">
      <alignment horizontal="center"/>
      <protection/>
    </xf>
    <xf numFmtId="167" fontId="10" fillId="0" borderId="0" xfId="64" applyFont="1" applyFill="1" applyBorder="1" applyAlignment="1">
      <alignment horizontal="center"/>
    </xf>
    <xf numFmtId="4" fontId="10" fillId="0" borderId="24" xfId="51" applyNumberFormat="1" applyFont="1" applyBorder="1" applyAlignment="1">
      <alignment horizontal="center"/>
      <protection/>
    </xf>
    <xf numFmtId="14" fontId="13" fillId="36" borderId="25" xfId="0" applyNumberFormat="1" applyFont="1" applyFill="1" applyBorder="1" applyAlignment="1">
      <alignment horizontal="center" vertical="center" wrapText="1"/>
    </xf>
    <xf numFmtId="3" fontId="10" fillId="0" borderId="24" xfId="51" applyNumberFormat="1" applyFont="1" applyBorder="1" applyAlignment="1">
      <alignment horizontal="center"/>
      <protection/>
    </xf>
    <xf numFmtId="0" fontId="11" fillId="40" borderId="0" xfId="51" applyFont="1" applyFill="1" applyBorder="1" applyAlignment="1">
      <alignment horizontal="right"/>
      <protection/>
    </xf>
    <xf numFmtId="170" fontId="10" fillId="0" borderId="24" xfId="64" applyNumberFormat="1" applyFont="1" applyBorder="1" applyAlignment="1">
      <alignment horizontal="center"/>
    </xf>
    <xf numFmtId="0" fontId="0" fillId="33" borderId="26" xfId="0" applyFont="1" applyFill="1" applyBorder="1" applyAlignment="1">
      <alignment/>
    </xf>
    <xf numFmtId="14" fontId="0" fillId="33" borderId="27" xfId="0" applyNumberFormat="1" applyFill="1" applyBorder="1" applyAlignment="1">
      <alignment/>
    </xf>
    <xf numFmtId="190" fontId="10" fillId="33" borderId="27" xfId="51" applyNumberFormat="1" applyFont="1" applyFill="1" applyBorder="1" applyAlignment="1">
      <alignment horizontal="center"/>
      <protection/>
    </xf>
    <xf numFmtId="0" fontId="0" fillId="33" borderId="33" xfId="0" applyFont="1" applyFill="1" applyBorder="1" applyAlignment="1">
      <alignment/>
    </xf>
    <xf numFmtId="14" fontId="0" fillId="33" borderId="34" xfId="0" applyNumberFormat="1" applyFill="1" applyBorder="1" applyAlignment="1">
      <alignment/>
    </xf>
    <xf numFmtId="190" fontId="10" fillId="33" borderId="34" xfId="51" applyNumberFormat="1" applyFont="1" applyFill="1" applyBorder="1" applyAlignment="1">
      <alignment horizontal="center"/>
      <protection/>
    </xf>
    <xf numFmtId="0" fontId="0" fillId="33" borderId="35" xfId="0" applyFill="1" applyBorder="1" applyAlignment="1">
      <alignment/>
    </xf>
    <xf numFmtId="0" fontId="10" fillId="0" borderId="36" xfId="51" applyNumberFormat="1" applyFont="1" applyBorder="1" applyAlignment="1">
      <alignment horizontal="center"/>
      <protection/>
    </xf>
    <xf numFmtId="170" fontId="10" fillId="0" borderId="37" xfId="64" applyNumberFormat="1" applyFont="1" applyBorder="1" applyAlignment="1">
      <alignment horizontal="center"/>
    </xf>
    <xf numFmtId="3" fontId="10" fillId="0" borderId="37" xfId="51" applyNumberFormat="1" applyFont="1" applyBorder="1" applyAlignment="1">
      <alignment horizontal="center"/>
      <protection/>
    </xf>
    <xf numFmtId="186" fontId="10" fillId="0" borderId="37" xfId="51" applyNumberFormat="1" applyFont="1" applyBorder="1" applyAlignment="1">
      <alignment horizontal="center"/>
      <protection/>
    </xf>
    <xf numFmtId="4" fontId="10" fillId="0" borderId="37" xfId="51" applyNumberFormat="1" applyFont="1" applyBorder="1" applyAlignment="1">
      <alignment horizontal="center"/>
      <protection/>
    </xf>
    <xf numFmtId="194" fontId="0" fillId="0" borderId="27" xfId="0" applyNumberFormat="1" applyBorder="1" applyAlignment="1">
      <alignment/>
    </xf>
    <xf numFmtId="194" fontId="0" fillId="0" borderId="28" xfId="0" applyNumberFormat="1" applyBorder="1" applyAlignment="1">
      <alignment/>
    </xf>
    <xf numFmtId="0" fontId="10" fillId="0" borderId="38" xfId="51" applyNumberFormat="1" applyFont="1" applyBorder="1" applyAlignment="1">
      <alignment horizontal="center"/>
      <protection/>
    </xf>
    <xf numFmtId="194" fontId="0" fillId="0" borderId="0" xfId="0" applyNumberFormat="1" applyBorder="1" applyAlignment="1">
      <alignment/>
    </xf>
    <xf numFmtId="194" fontId="0" fillId="0" borderId="30" xfId="0" applyNumberFormat="1" applyBorder="1" applyAlignment="1">
      <alignment/>
    </xf>
    <xf numFmtId="0" fontId="10" fillId="0" borderId="39" xfId="51" applyNumberFormat="1" applyFont="1" applyBorder="1" applyAlignment="1">
      <alignment horizontal="center"/>
      <protection/>
    </xf>
    <xf numFmtId="14" fontId="10" fillId="0" borderId="40" xfId="51" applyNumberFormat="1" applyFont="1" applyBorder="1" applyAlignment="1">
      <alignment horizontal="center"/>
      <protection/>
    </xf>
    <xf numFmtId="170" fontId="10" fillId="0" borderId="40" xfId="64" applyNumberFormat="1" applyFont="1" applyBorder="1" applyAlignment="1">
      <alignment horizontal="center"/>
    </xf>
    <xf numFmtId="3" fontId="10" fillId="0" borderId="40" xfId="51" applyNumberFormat="1" applyFont="1" applyBorder="1" applyAlignment="1">
      <alignment horizontal="center"/>
      <protection/>
    </xf>
    <xf numFmtId="194" fontId="0" fillId="0" borderId="34" xfId="0" applyNumberFormat="1" applyBorder="1" applyAlignment="1">
      <alignment/>
    </xf>
    <xf numFmtId="194" fontId="0" fillId="0" borderId="35" xfId="0" applyNumberFormat="1" applyBorder="1" applyAlignment="1">
      <alignment/>
    </xf>
    <xf numFmtId="0" fontId="1" fillId="33" borderId="28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14" fontId="13" fillId="36" borderId="24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181" fontId="13" fillId="33" borderId="42" xfId="64" applyNumberFormat="1" applyFont="1" applyFill="1" applyBorder="1" applyAlignment="1">
      <alignment horizontal="center" vertical="center" wrapText="1"/>
    </xf>
    <xf numFmtId="190" fontId="11" fillId="0" borderId="43" xfId="51" applyNumberFormat="1" applyFont="1" applyBorder="1" applyAlignment="1">
      <alignment horizontal="center" vertical="center" wrapText="1"/>
      <protection/>
    </xf>
    <xf numFmtId="0" fontId="1" fillId="33" borderId="44" xfId="0" applyFont="1" applyFill="1" applyBorder="1" applyAlignment="1">
      <alignment horizontal="center" vertical="center" wrapText="1"/>
    </xf>
    <xf numFmtId="181" fontId="13" fillId="33" borderId="45" xfId="64" applyNumberFormat="1" applyFont="1" applyFill="1" applyBorder="1" applyAlignment="1">
      <alignment horizontal="center" vertical="center" wrapText="1"/>
    </xf>
    <xf numFmtId="184" fontId="0" fillId="0" borderId="0" xfId="0" applyNumberFormat="1" applyBorder="1" applyAlignment="1" applyProtection="1" quotePrefix="1">
      <alignment horizontal="left"/>
      <protection/>
    </xf>
    <xf numFmtId="19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50" applyFill="1" applyBorder="1">
      <alignment/>
      <protection/>
    </xf>
    <xf numFmtId="14" fontId="1" fillId="0" borderId="0" xfId="50" applyNumberFormat="1" applyFont="1" applyFill="1" applyBorder="1">
      <alignment/>
      <protection/>
    </xf>
    <xf numFmtId="169" fontId="0" fillId="0" borderId="0" xfId="50" applyNumberFormat="1" applyFill="1" applyBorder="1">
      <alignment/>
      <protection/>
    </xf>
    <xf numFmtId="172" fontId="10" fillId="0" borderId="0" xfId="51" applyNumberFormat="1" applyFont="1" applyFill="1" applyBorder="1" applyAlignment="1">
      <alignment horizontal="center"/>
      <protection/>
    </xf>
    <xf numFmtId="169" fontId="0" fillId="0" borderId="0" xfId="50" applyNumberFormat="1" applyFill="1" applyBorder="1" applyAlignment="1">
      <alignment horizontal="center"/>
      <protection/>
    </xf>
    <xf numFmtId="49" fontId="0" fillId="0" borderId="0" xfId="5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1" fillId="0" borderId="0" xfId="50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0" fillId="0" borderId="0" xfId="50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50" applyFill="1" applyBorder="1" applyAlignment="1">
      <alignment vertical="top" wrapText="1"/>
      <protection/>
    </xf>
    <xf numFmtId="14" fontId="13" fillId="0" borderId="0" xfId="50" applyNumberFormat="1" applyFont="1" applyFill="1" applyBorder="1">
      <alignment/>
      <protection/>
    </xf>
    <xf numFmtId="14" fontId="11" fillId="0" borderId="0" xfId="51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14" fontId="23" fillId="44" borderId="32" xfId="0" applyNumberFormat="1" applyFont="1" applyFill="1" applyBorder="1" applyAlignment="1">
      <alignment horizontal="center"/>
    </xf>
    <xf numFmtId="168" fontId="18" fillId="0" borderId="23" xfId="0" applyNumberFormat="1" applyFont="1" applyBorder="1" applyAlignment="1">
      <alignment/>
    </xf>
    <xf numFmtId="14" fontId="23" fillId="44" borderId="24" xfId="0" applyNumberFormat="1" applyFont="1" applyFill="1" applyBorder="1" applyAlignment="1">
      <alignment horizontal="center"/>
    </xf>
    <xf numFmtId="14" fontId="23" fillId="44" borderId="25" xfId="0" applyNumberFormat="1" applyFont="1" applyFill="1" applyBorder="1" applyAlignment="1">
      <alignment horizontal="center"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8" fontId="18" fillId="43" borderId="23" xfId="0" applyNumberFormat="1" applyFont="1" applyFill="1" applyBorder="1" applyAlignment="1">
      <alignment/>
    </xf>
    <xf numFmtId="174" fontId="15" fillId="33" borderId="0" xfId="0" applyNumberFormat="1" applyFont="1" applyFill="1" applyAlignment="1">
      <alignment/>
    </xf>
    <xf numFmtId="14" fontId="14" fillId="0" borderId="23" xfId="0" applyNumberFormat="1" applyFont="1" applyBorder="1" applyAlignment="1">
      <alignment horizontal="center"/>
    </xf>
    <xf numFmtId="14" fontId="14" fillId="44" borderId="23" xfId="0" applyNumberFormat="1" applyFont="1" applyFill="1" applyBorder="1" applyAlignment="1">
      <alignment horizontal="center"/>
    </xf>
    <xf numFmtId="14" fontId="24" fillId="45" borderId="0" xfId="50" applyNumberFormat="1" applyFont="1" applyFill="1" applyBorder="1">
      <alignment/>
      <protection/>
    </xf>
    <xf numFmtId="169" fontId="24" fillId="45" borderId="0" xfId="50" applyNumberFormat="1" applyFont="1" applyFill="1" applyBorder="1">
      <alignment/>
      <protection/>
    </xf>
    <xf numFmtId="169" fontId="24" fillId="45" borderId="0" xfId="50" applyNumberFormat="1" applyFont="1" applyFill="1" applyBorder="1" applyAlignment="1">
      <alignment horizontal="center"/>
      <protection/>
    </xf>
    <xf numFmtId="0" fontId="24" fillId="45" borderId="0" xfId="0" applyFont="1" applyFill="1" applyBorder="1" applyAlignment="1">
      <alignment/>
    </xf>
    <xf numFmtId="167" fontId="25" fillId="45" borderId="0" xfId="64" applyFont="1" applyFill="1" applyBorder="1" applyAlignment="1">
      <alignment horizontal="center"/>
    </xf>
    <xf numFmtId="197" fontId="0" fillId="0" borderId="0" xfId="0" applyNumberFormat="1" applyAlignment="1">
      <alignment horizontal="left"/>
    </xf>
    <xf numFmtId="197" fontId="0" fillId="0" borderId="0" xfId="0" applyNumberFormat="1" applyFont="1" applyAlignment="1">
      <alignment horizontal="left"/>
    </xf>
    <xf numFmtId="0" fontId="0" fillId="45" borderId="0" xfId="0" applyFont="1" applyFill="1" applyAlignment="1">
      <alignment horizontal="center"/>
    </xf>
    <xf numFmtId="167" fontId="0" fillId="0" borderId="0" xfId="64" applyFont="1" applyFill="1" applyAlignment="1">
      <alignment/>
    </xf>
    <xf numFmtId="0" fontId="79" fillId="0" borderId="0" xfId="0" applyFont="1" applyAlignment="1">
      <alignment horizontal="center" readingOrder="1"/>
    </xf>
    <xf numFmtId="203" fontId="79" fillId="0" borderId="0" xfId="0" applyNumberFormat="1" applyFont="1" applyAlignment="1">
      <alignment horizontal="center" readingOrder="1"/>
    </xf>
    <xf numFmtId="193" fontId="10" fillId="0" borderId="46" xfId="51" applyNumberFormat="1" applyFont="1" applyBorder="1" applyAlignment="1">
      <alignment horizontal="center"/>
      <protection/>
    </xf>
    <xf numFmtId="14" fontId="10" fillId="0" borderId="46" xfId="51" applyNumberFormat="1" applyFont="1" applyBorder="1" applyAlignment="1">
      <alignment horizontal="center"/>
      <protection/>
    </xf>
    <xf numFmtId="190" fontId="10" fillId="0" borderId="46" xfId="51" applyNumberFormat="1" applyFont="1" applyBorder="1" applyAlignment="1">
      <alignment horizontal="center"/>
      <protection/>
    </xf>
    <xf numFmtId="190" fontId="10" fillId="0" borderId="47" xfId="51" applyNumberFormat="1" applyFont="1" applyBorder="1" applyAlignment="1">
      <alignment horizontal="center"/>
      <protection/>
    </xf>
    <xf numFmtId="0" fontId="11" fillId="40" borderId="19" xfId="51" applyNumberFormat="1" applyFont="1" applyFill="1" applyBorder="1" applyAlignment="1">
      <alignment/>
      <protection/>
    </xf>
    <xf numFmtId="0" fontId="11" fillId="40" borderId="20" xfId="51" applyNumberFormat="1" applyFont="1" applyFill="1" applyBorder="1" applyAlignment="1">
      <alignment/>
      <protection/>
    </xf>
    <xf numFmtId="14" fontId="11" fillId="40" borderId="18" xfId="51" applyNumberFormat="1" applyFont="1" applyFill="1" applyBorder="1" applyAlignment="1">
      <alignment/>
      <protection/>
    </xf>
    <xf numFmtId="14" fontId="11" fillId="40" borderId="19" xfId="51" applyNumberFormat="1" applyFont="1" applyFill="1" applyBorder="1" applyAlignment="1">
      <alignment/>
      <protection/>
    </xf>
    <xf numFmtId="0" fontId="1" fillId="40" borderId="19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11" fillId="0" borderId="32" xfId="51" applyNumberFormat="1" applyFont="1" applyBorder="1" applyAlignment="1">
      <alignment vertical="center" wrapText="1"/>
      <protection/>
    </xf>
    <xf numFmtId="14" fontId="11" fillId="0" borderId="32" xfId="51" applyNumberFormat="1" applyFont="1" applyBorder="1" applyAlignment="1">
      <alignment vertical="center" wrapText="1"/>
      <protection/>
    </xf>
    <xf numFmtId="190" fontId="11" fillId="0" borderId="32" xfId="51" applyNumberFormat="1" applyFont="1" applyBorder="1" applyAlignment="1">
      <alignment vertical="center" wrapText="1"/>
      <protection/>
    </xf>
    <xf numFmtId="0" fontId="0" fillId="0" borderId="25" xfId="0" applyBorder="1" applyAlignment="1">
      <alignment vertical="center" wrapText="1"/>
    </xf>
    <xf numFmtId="190" fontId="11" fillId="0" borderId="25" xfId="51" applyNumberFormat="1" applyFont="1" applyBorder="1" applyAlignment="1">
      <alignment vertical="center" wrapText="1"/>
      <protection/>
    </xf>
    <xf numFmtId="0" fontId="0" fillId="0" borderId="40" xfId="0" applyBorder="1" applyAlignment="1">
      <alignment vertical="center" wrapText="1"/>
    </xf>
    <xf numFmtId="190" fontId="11" fillId="0" borderId="40" xfId="51" applyNumberFormat="1" applyFont="1" applyBorder="1" applyAlignment="1">
      <alignment vertical="center" wrapText="1"/>
      <protection/>
    </xf>
    <xf numFmtId="183" fontId="0" fillId="0" borderId="0" xfId="0" applyNumberFormat="1" applyAlignment="1">
      <alignment/>
    </xf>
    <xf numFmtId="170" fontId="0" fillId="35" borderId="0" xfId="0" applyNumberFormat="1" applyFont="1" applyFill="1" applyAlignment="1">
      <alignment/>
    </xf>
    <xf numFmtId="14" fontId="10" fillId="0" borderId="47" xfId="51" applyNumberFormat="1" applyFont="1" applyBorder="1" applyAlignment="1">
      <alignment horizontal="center"/>
      <protection/>
    </xf>
    <xf numFmtId="186" fontId="10" fillId="0" borderId="46" xfId="51" applyNumberFormat="1" applyFont="1" applyBorder="1" applyAlignment="1">
      <alignment horizontal="center"/>
      <protection/>
    </xf>
    <xf numFmtId="186" fontId="10" fillId="0" borderId="47" xfId="51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0" fillId="45" borderId="0" xfId="0" applyFill="1" applyAlignment="1">
      <alignment/>
    </xf>
    <xf numFmtId="14" fontId="0" fillId="0" borderId="29" xfId="0" applyNumberFormat="1" applyFont="1" applyBorder="1" applyAlignment="1">
      <alignment/>
    </xf>
    <xf numFmtId="170" fontId="17" fillId="0" borderId="23" xfId="0" applyNumberFormat="1" applyFont="1" applyBorder="1" applyAlignment="1">
      <alignment/>
    </xf>
    <xf numFmtId="167" fontId="17" fillId="0" borderId="23" xfId="64" applyFont="1" applyBorder="1" applyAlignment="1">
      <alignment/>
    </xf>
    <xf numFmtId="167" fontId="17" fillId="45" borderId="23" xfId="64" applyFont="1" applyFill="1" applyBorder="1" applyAlignment="1">
      <alignment/>
    </xf>
    <xf numFmtId="181" fontId="17" fillId="0" borderId="23" xfId="0" applyNumberFormat="1" applyFont="1" applyBorder="1" applyAlignment="1">
      <alignment/>
    </xf>
    <xf numFmtId="182" fontId="17" fillId="0" borderId="23" xfId="0" applyNumberFormat="1" applyFont="1" applyBorder="1" applyAlignment="1">
      <alignment/>
    </xf>
    <xf numFmtId="179" fontId="17" fillId="0" borderId="23" xfId="0" applyNumberFormat="1" applyFont="1" applyBorder="1" applyAlignment="1">
      <alignment horizontal="center"/>
    </xf>
    <xf numFmtId="0" fontId="1" fillId="46" borderId="26" xfId="0" applyFont="1" applyFill="1" applyBorder="1" applyAlignment="1">
      <alignment horizontal="center"/>
    </xf>
    <xf numFmtId="0" fontId="1" fillId="46" borderId="27" xfId="0" applyFont="1" applyFill="1" applyBorder="1" applyAlignment="1">
      <alignment horizontal="center"/>
    </xf>
    <xf numFmtId="0" fontId="1" fillId="46" borderId="28" xfId="0" applyFont="1" applyFill="1" applyBorder="1" applyAlignment="1">
      <alignment horizontal="center"/>
    </xf>
    <xf numFmtId="10" fontId="1" fillId="46" borderId="48" xfId="53" applyNumberFormat="1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10" fontId="1" fillId="46" borderId="30" xfId="53" applyNumberFormat="1" applyFont="1" applyFill="1" applyBorder="1" applyAlignment="1">
      <alignment horizontal="center"/>
    </xf>
    <xf numFmtId="10" fontId="1" fillId="46" borderId="33" xfId="53" applyNumberFormat="1" applyFont="1" applyFill="1" applyBorder="1" applyAlignment="1">
      <alignment horizontal="center"/>
    </xf>
    <xf numFmtId="0" fontId="1" fillId="46" borderId="34" xfId="0" applyFont="1" applyFill="1" applyBorder="1" applyAlignment="1">
      <alignment horizontal="center"/>
    </xf>
    <xf numFmtId="10" fontId="1" fillId="46" borderId="35" xfId="53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19" borderId="49" xfId="0" applyFont="1" applyFill="1" applyBorder="1" applyAlignment="1">
      <alignment/>
    </xf>
    <xf numFmtId="43" fontId="0" fillId="19" borderId="50" xfId="0" applyNumberFormat="1" applyFill="1" applyBorder="1" applyAlignment="1">
      <alignment/>
    </xf>
    <xf numFmtId="0" fontId="0" fillId="19" borderId="29" xfId="0" applyFont="1" applyFill="1" applyBorder="1" applyAlignment="1">
      <alignment/>
    </xf>
    <xf numFmtId="43" fontId="0" fillId="19" borderId="51" xfId="0" applyNumberFormat="1" applyFill="1" applyBorder="1" applyAlignment="1">
      <alignment/>
    </xf>
    <xf numFmtId="0" fontId="0" fillId="19" borderId="31" xfId="0" applyFont="1" applyFill="1" applyBorder="1" applyAlignment="1">
      <alignment/>
    </xf>
    <xf numFmtId="167" fontId="0" fillId="19" borderId="52" xfId="0" applyNumberFormat="1" applyFill="1" applyBorder="1" applyAlignment="1">
      <alignment/>
    </xf>
    <xf numFmtId="10" fontId="17" fillId="0" borderId="23" xfId="53" applyNumberFormat="1" applyFont="1" applyBorder="1" applyAlignment="1">
      <alignment/>
    </xf>
    <xf numFmtId="170" fontId="17" fillId="0" borderId="0" xfId="0" applyNumberFormat="1" applyFont="1" applyBorder="1" applyAlignment="1">
      <alignment/>
    </xf>
    <xf numFmtId="167" fontId="17" fillId="34" borderId="0" xfId="64" applyFont="1" applyFill="1" applyBorder="1" applyAlignment="1">
      <alignment horizontal="center"/>
    </xf>
    <xf numFmtId="170" fontId="17" fillId="0" borderId="0" xfId="64" applyNumberFormat="1" applyFont="1" applyBorder="1" applyAlignment="1">
      <alignment/>
    </xf>
    <xf numFmtId="0" fontId="17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179" fontId="17" fillId="0" borderId="0" xfId="0" applyNumberFormat="1" applyFont="1" applyBorder="1" applyAlignment="1">
      <alignment/>
    </xf>
    <xf numFmtId="167" fontId="17" fillId="0" borderId="0" xfId="64" applyFont="1" applyBorder="1" applyAlignment="1">
      <alignment/>
    </xf>
    <xf numFmtId="10" fontId="17" fillId="0" borderId="0" xfId="53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167" fontId="17" fillId="45" borderId="0" xfId="64" applyFont="1" applyFill="1" applyBorder="1" applyAlignment="1">
      <alignment/>
    </xf>
    <xf numFmtId="43" fontId="0" fillId="19" borderId="0" xfId="0" applyNumberFormat="1" applyFill="1" applyBorder="1" applyAlignment="1">
      <alignment/>
    </xf>
    <xf numFmtId="167" fontId="0" fillId="19" borderId="0" xfId="0" applyNumberFormat="1" applyFill="1" applyBorder="1" applyAlignment="1">
      <alignment/>
    </xf>
    <xf numFmtId="43" fontId="0" fillId="19" borderId="53" xfId="0" applyNumberFormat="1" applyFill="1" applyBorder="1" applyAlignment="1">
      <alignment/>
    </xf>
    <xf numFmtId="167" fontId="0" fillId="19" borderId="53" xfId="0" applyNumberFormat="1" applyFill="1" applyBorder="1" applyAlignment="1">
      <alignment/>
    </xf>
    <xf numFmtId="167" fontId="17" fillId="0" borderId="23" xfId="64" applyFont="1" applyBorder="1" applyAlignment="1">
      <alignment horizontal="center"/>
    </xf>
    <xf numFmtId="10" fontId="17" fillId="0" borderId="23" xfId="53" applyNumberFormat="1" applyFont="1" applyBorder="1" applyAlignment="1">
      <alignment horizontal="center"/>
    </xf>
    <xf numFmtId="178" fontId="17" fillId="0" borderId="23" xfId="0" applyNumberFormat="1" applyFont="1" applyBorder="1" applyAlignment="1">
      <alignment horizontal="center"/>
    </xf>
    <xf numFmtId="0" fontId="16" fillId="19" borderId="0" xfId="0" applyFont="1" applyFill="1" applyBorder="1" applyAlignment="1">
      <alignment horizontal="center"/>
    </xf>
    <xf numFmtId="170" fontId="16" fillId="19" borderId="0" xfId="64" applyNumberFormat="1" applyFont="1" applyFill="1" applyBorder="1" applyAlignment="1">
      <alignment/>
    </xf>
    <xf numFmtId="14" fontId="16" fillId="19" borderId="0" xfId="0" applyNumberFormat="1" applyFont="1" applyFill="1" applyBorder="1" applyAlignment="1">
      <alignment horizontal="center"/>
    </xf>
    <xf numFmtId="10" fontId="24" fillId="19" borderId="0" xfId="53" applyNumberFormat="1" applyFont="1" applyFill="1" applyAlignment="1">
      <alignment/>
    </xf>
    <xf numFmtId="0" fontId="1" fillId="47" borderId="0" xfId="0" applyFont="1" applyFill="1" applyAlignment="1" quotePrefix="1">
      <alignment horizontal="center"/>
    </xf>
    <xf numFmtId="0" fontId="1" fillId="47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190" fontId="11" fillId="0" borderId="32" xfId="51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1" fillId="0" borderId="23" xfId="51" applyFont="1" applyBorder="1" applyAlignment="1">
      <alignment horizontal="center" vertical="center" wrapText="1"/>
      <protection/>
    </xf>
    <xf numFmtId="0" fontId="11" fillId="40" borderId="23" xfId="51" applyNumberFormat="1" applyFont="1" applyFill="1" applyBorder="1" applyAlignment="1">
      <alignment horizontal="center"/>
      <protection/>
    </xf>
    <xf numFmtId="0" fontId="1" fillId="40" borderId="23" xfId="0" applyFont="1" applyFill="1" applyBorder="1" applyAlignment="1">
      <alignment horizontal="center"/>
    </xf>
    <xf numFmtId="14" fontId="11" fillId="40" borderId="23" xfId="51" applyNumberFormat="1" applyFont="1" applyFill="1" applyBorder="1" applyAlignment="1">
      <alignment horizontal="center"/>
      <protection/>
    </xf>
    <xf numFmtId="0" fontId="11" fillId="0" borderId="32" xfId="51" applyNumberFormat="1" applyFont="1" applyBorder="1" applyAlignment="1">
      <alignment horizontal="center" vertical="center" wrapText="1"/>
      <protection/>
    </xf>
    <xf numFmtId="14" fontId="11" fillId="0" borderId="32" xfId="51" applyNumberFormat="1" applyFont="1" applyBorder="1" applyAlignment="1">
      <alignment horizontal="center" vertical="center" wrapText="1"/>
      <protection/>
    </xf>
    <xf numFmtId="0" fontId="11" fillId="0" borderId="54" xfId="51" applyNumberFormat="1" applyFont="1" applyBorder="1" applyAlignment="1">
      <alignment horizontal="left"/>
      <protection/>
    </xf>
    <xf numFmtId="0" fontId="0" fillId="0" borderId="54" xfId="0" applyBorder="1" applyAlignment="1">
      <alignment/>
    </xf>
    <xf numFmtId="0" fontId="0" fillId="0" borderId="0" xfId="50" applyFill="1" applyBorder="1" applyAlignment="1">
      <alignment horizontal="center"/>
      <protection/>
    </xf>
    <xf numFmtId="0" fontId="16" fillId="19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MATRIZ97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45"/>
          <c:w val="0.975"/>
          <c:h val="0.97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Curvas!$P$53:$P$67</c:f>
              <c:numCache/>
            </c:numRef>
          </c:xVal>
          <c:yVal>
            <c:numRef>
              <c:f>Curvas!$Q$53:$Q$67</c:f>
              <c:numCache/>
            </c:numRef>
          </c:yVal>
          <c:smooth val="0"/>
        </c:ser>
        <c:axId val="34167847"/>
        <c:axId val="39075168"/>
      </c:scatterChart>
      <c:val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5168"/>
        <c:crosses val="autoZero"/>
        <c:crossBetween val="midCat"/>
        <c:dispUnits/>
      </c:valAx>
      <c:valAx>
        <c:axId val="39075168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678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27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5"/>
          <c:w val="0.96625"/>
          <c:h val="0.5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Curvas!$I$3:$I$23</c:f>
              <c:numCache/>
            </c:numRef>
          </c:xVal>
          <c:yVal>
            <c:numRef>
              <c:f>Curvas!$K$3:$K$23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Curvas!$I$3:$I$23</c:f>
              <c:numCache/>
            </c:numRef>
          </c:xVal>
          <c:yVal>
            <c:numRef>
              <c:f>Curvas!$L$3:$L$23</c:f>
              <c:numCache/>
            </c:numRef>
          </c:yVal>
          <c:smooth val="0"/>
        </c:ser>
        <c:axId val="16132193"/>
        <c:axId val="10972010"/>
      </c:scatterChart>
      <c:val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-0.070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crossBetween val="midCat"/>
        <c:dispUnits/>
      </c:valAx>
      <c:valAx>
        <c:axId val="10972010"/>
        <c:scaling>
          <c:orientation val="minMax"/>
          <c:max val="10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"/>
          <c:y val="0.84375"/>
          <c:w val="0.75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75"/>
          <c:y val="0.14325"/>
          <c:w val="0.96375"/>
          <c:h val="0.82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Spline!$G$1</c:f>
              <c:strCache>
                <c:ptCount val="1"/>
                <c:pt idx="0">
                  <c:v>Spline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Spline!$F$2:$F$2600</c:f>
              <c:numCache/>
            </c:numRef>
          </c:xVal>
          <c:yVal>
            <c:numRef>
              <c:f>Spline!$G$2:$G$2600</c:f>
              <c:numCache/>
            </c:numRef>
          </c:yVal>
          <c:smooth val="1"/>
        </c:ser>
        <c:axId val="31639227"/>
        <c:axId val="16317588"/>
      </c:scatterChart>
      <c:valAx>
        <c:axId val="31639227"/>
        <c:scaling>
          <c:orientation val="minMax"/>
          <c:max val="17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17588"/>
        <c:crosses val="autoZero"/>
        <c:crossBetween val="midCat"/>
        <c:dispUnits/>
      </c:valAx>
      <c:valAx>
        <c:axId val="16317588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9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3775"/>
          <c:w val="0.12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12"/>
          <c:w val="0.93525"/>
          <c:h val="0.62825"/>
        </c:manualLayout>
      </c:layout>
      <c:scatterChart>
        <c:scatterStyle val="lineMarker"/>
        <c:varyColors val="0"/>
        <c:ser>
          <c:idx val="0"/>
          <c:order val="0"/>
          <c:tx>
            <c:v>Vértice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"/>
            </c:trendlineLbl>
          </c:trendline>
          <c:xVal>
            <c:numRef>
              <c:f>Arbitragem!$J$2:$J$13</c:f>
              <c:numCache/>
            </c:numRef>
          </c:xVal>
          <c:yVal>
            <c:numRef>
              <c:f>Arbitragem!$K$2:$K$13</c:f>
              <c:numCache/>
            </c:numRef>
          </c:yVal>
          <c:smooth val="0"/>
        </c:ser>
        <c:ser>
          <c:idx val="1"/>
          <c:order val="1"/>
          <c:tx>
            <c:v>Curva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Arbitragem!$L$2:$L$13</c:f>
              <c:numCache/>
            </c:numRef>
          </c:yVal>
          <c:smooth val="0"/>
        </c:ser>
        <c:ser>
          <c:idx val="2"/>
          <c:order val="2"/>
          <c:tx>
            <c:v>Ativo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Arbitragem!$M$2:$M$13</c:f>
              <c:numCache/>
            </c:numRef>
          </c:yVal>
          <c:smooth val="0"/>
        </c:ser>
        <c:axId val="12640565"/>
        <c:axId val="46656222"/>
      </c:scatterChart>
      <c:valAx>
        <c:axId val="12640565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0.0527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crossBetween val="midCat"/>
        <c:dispUnits/>
      </c:valAx>
      <c:valAx>
        <c:axId val="46656222"/>
        <c:scaling>
          <c:orientation val="minMax"/>
          <c:max val="25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"/>
          <c:y val="0.7585"/>
          <c:w val="0.6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4"/>
          <c:w val="0.9355"/>
          <c:h val="0.5965"/>
        </c:manualLayout>
      </c:layout>
      <c:scatterChart>
        <c:scatterStyle val="lineMarker"/>
        <c:varyColors val="0"/>
        <c:ser>
          <c:idx val="0"/>
          <c:order val="0"/>
          <c:tx>
            <c:v>Vértice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"/>
            </c:trendlineLbl>
          </c:trendline>
          <c:xVal>
            <c:numRef>
              <c:f>Arbitragem!$J$2:$J$13</c:f>
              <c:numCache/>
            </c:numRef>
          </c:xVal>
          <c:yVal>
            <c:numRef>
              <c:f>Arbitragem!$K$2:$K$13</c:f>
              <c:numCache/>
            </c:numRef>
          </c:yVal>
          <c:smooth val="0"/>
        </c:ser>
        <c:ser>
          <c:idx val="1"/>
          <c:order val="1"/>
          <c:tx>
            <c:v>Curva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Arbitragem!$L$2:$L$13</c:f>
              <c:numCache/>
            </c:numRef>
          </c:yVal>
          <c:smooth val="0"/>
        </c:ser>
        <c:ser>
          <c:idx val="2"/>
          <c:order val="2"/>
          <c:tx>
            <c:v>Ativo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Arbitragem!$M$2:$M$13</c:f>
              <c:numCache/>
            </c:numRef>
          </c:yVal>
          <c:smooth val="0"/>
        </c:ser>
        <c:axId val="17252815"/>
        <c:axId val="21057608"/>
      </c:scatterChart>
      <c:valAx>
        <c:axId val="17252815"/>
        <c:scaling>
          <c:orientation val="minMax"/>
          <c:max val="238"/>
          <c:min val="2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0.051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7608"/>
        <c:crosses val="autoZero"/>
        <c:crossBetween val="midCat"/>
        <c:dispUnits/>
        <c:majorUnit val="1"/>
        <c:minorUnit val="0.1"/>
      </c:valAx>
      <c:valAx>
        <c:axId val="21057608"/>
        <c:scaling>
          <c:orientation val="minMax"/>
          <c:max val="21.2"/>
          <c:min val="2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00_);_(* \(#,##0.0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crossBetween val="midCat"/>
        <c:dispUnits/>
        <c:majorUnit val="0.08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375"/>
          <c:y val="0.73425"/>
          <c:w val="0.599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31</xdr:row>
      <xdr:rowOff>85725</xdr:rowOff>
    </xdr:from>
    <xdr:to>
      <xdr:col>19</xdr:col>
      <xdr:colOff>171450</xdr:colOff>
      <xdr:row>48</xdr:row>
      <xdr:rowOff>76200</xdr:rowOff>
    </xdr:to>
    <xdr:graphicFrame>
      <xdr:nvGraphicFramePr>
        <xdr:cNvPr id="1" name="Gráfico 7"/>
        <xdr:cNvGraphicFramePr/>
      </xdr:nvGraphicFramePr>
      <xdr:xfrm>
        <a:off x="8677275" y="5133975"/>
        <a:ext cx="5181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</xdr:row>
      <xdr:rowOff>95250</xdr:rowOff>
    </xdr:from>
    <xdr:to>
      <xdr:col>6</xdr:col>
      <xdr:colOff>704850</xdr:colOff>
      <xdr:row>21</xdr:row>
      <xdr:rowOff>142875</xdr:rowOff>
    </xdr:to>
    <xdr:graphicFrame>
      <xdr:nvGraphicFramePr>
        <xdr:cNvPr id="2" name="Gráfico 3"/>
        <xdr:cNvGraphicFramePr/>
      </xdr:nvGraphicFramePr>
      <xdr:xfrm>
        <a:off x="209550" y="257175"/>
        <a:ext cx="52292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114300</xdr:rowOff>
    </xdr:from>
    <xdr:to>
      <xdr:col>15</xdr:col>
      <xdr:colOff>342900</xdr:colOff>
      <xdr:row>18</xdr:row>
      <xdr:rowOff>104775</xdr:rowOff>
    </xdr:to>
    <xdr:graphicFrame>
      <xdr:nvGraphicFramePr>
        <xdr:cNvPr id="1" name="Gráfico 3"/>
        <xdr:cNvGraphicFramePr/>
      </xdr:nvGraphicFramePr>
      <xdr:xfrm>
        <a:off x="4981575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7</xdr:col>
      <xdr:colOff>733425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66700"/>
        <a:ext cx="5467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104775</xdr:rowOff>
    </xdr:from>
    <xdr:to>
      <xdr:col>7</xdr:col>
      <xdr:colOff>742950</xdr:colOff>
      <xdr:row>45</xdr:row>
      <xdr:rowOff>142875</xdr:rowOff>
    </xdr:to>
    <xdr:graphicFrame>
      <xdr:nvGraphicFramePr>
        <xdr:cNvPr id="2" name="Chart 3"/>
        <xdr:cNvGraphicFramePr/>
      </xdr:nvGraphicFramePr>
      <xdr:xfrm>
        <a:off x="0" y="4152900"/>
        <a:ext cx="54768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G85"/>
  <sheetViews>
    <sheetView tabSelected="1" zoomScalePageLayoutView="0" workbookViewId="0" topLeftCell="A34">
      <selection activeCell="D47" sqref="D47:D48"/>
    </sheetView>
  </sheetViews>
  <sheetFormatPr defaultColWidth="9.140625" defaultRowHeight="12.75"/>
  <cols>
    <col min="1" max="1" width="10.28125" style="0" bestFit="1" customWidth="1"/>
    <col min="2" max="2" width="11.7109375" style="0" bestFit="1" customWidth="1"/>
    <col min="3" max="3" width="11.140625" style="0" bestFit="1" customWidth="1"/>
    <col min="4" max="4" width="10.57421875" style="0" customWidth="1"/>
    <col min="5" max="5" width="16.57421875" style="0" customWidth="1"/>
    <col min="6" max="6" width="10.7109375" style="0" customWidth="1"/>
    <col min="7" max="7" width="13.28125" style="0" customWidth="1"/>
    <col min="8" max="8" width="13.57421875" style="0" customWidth="1"/>
    <col min="9" max="9" width="10.28125" style="0" customWidth="1"/>
    <col min="10" max="10" width="9.140625" style="0" customWidth="1"/>
    <col min="11" max="12" width="10.28125" style="0" bestFit="1" customWidth="1"/>
    <col min="13" max="13" width="9.421875" style="0" customWidth="1"/>
    <col min="14" max="14" width="7.421875" style="0" customWidth="1"/>
    <col min="16" max="16" width="8.7109375" style="0" customWidth="1"/>
    <col min="18" max="18" width="3.7109375" style="0" customWidth="1"/>
    <col min="19" max="19" width="19.8515625" style="0" bestFit="1" customWidth="1"/>
    <col min="20" max="20" width="5.28125" style="0" customWidth="1"/>
    <col min="21" max="21" width="10.8515625" style="0" customWidth="1"/>
    <col min="24" max="24" width="11.28125" style="0" bestFit="1" customWidth="1"/>
    <col min="27" max="27" width="11.7109375" style="0" customWidth="1"/>
  </cols>
  <sheetData>
    <row r="1" ht="12.75">
      <c r="H1" s="44">
        <f ca="1">TODAY()</f>
        <v>41413</v>
      </c>
    </row>
    <row r="2" spans="8:33" ht="12.75">
      <c r="H2" s="120" t="s">
        <v>86</v>
      </c>
      <c r="I2" s="120" t="s">
        <v>1</v>
      </c>
      <c r="J2" s="120"/>
      <c r="K2" s="120" t="s">
        <v>52</v>
      </c>
      <c r="L2" s="120" t="s">
        <v>48</v>
      </c>
      <c r="M2" s="120" t="s">
        <v>2</v>
      </c>
      <c r="N2" s="120" t="s">
        <v>50</v>
      </c>
      <c r="P2" s="120" t="s">
        <v>48</v>
      </c>
      <c r="Q2" s="120" t="s">
        <v>49</v>
      </c>
      <c r="S2" t="s">
        <v>5</v>
      </c>
      <c r="AC2" t="s">
        <v>43</v>
      </c>
      <c r="AD2" t="s">
        <v>44</v>
      </c>
      <c r="AE2" t="s">
        <v>45</v>
      </c>
      <c r="AF2" t="s">
        <v>46</v>
      </c>
      <c r="AG2" s="3" t="s">
        <v>47</v>
      </c>
    </row>
    <row r="3" spans="8:33" ht="12.75">
      <c r="H3" s="267">
        <v>41426</v>
      </c>
      <c r="I3" s="6">
        <v>22</v>
      </c>
      <c r="J3" s="6">
        <v>42</v>
      </c>
      <c r="K3" s="1">
        <v>7.23</v>
      </c>
      <c r="M3" s="1">
        <f aca="true" t="shared" si="0" ref="M3:M22">$S$3*I3^5+$S$4*I3^4+$S$5*I3^3+$S$6*I3^2+$S$7*I3+$S$8</f>
        <v>7.264531505727275</v>
      </c>
      <c r="N3" s="1">
        <f aca="true" t="shared" si="1" ref="N3:N23">cubic_spline($I$3:$I$22,$K$3:$K$22,I3)</f>
        <v>7.230000019073486</v>
      </c>
      <c r="P3" s="7">
        <f aca="true" t="shared" si="2" ref="P3:P22">M3-K3</f>
        <v>0.03453150572727459</v>
      </c>
      <c r="Q3" s="7"/>
      <c r="S3" s="271">
        <f>0.00000000000002063</f>
        <v>2.063E-14</v>
      </c>
      <c r="T3" s="3" t="s">
        <v>6</v>
      </c>
      <c r="V3" s="1"/>
      <c r="X3" s="7"/>
      <c r="AA3" s="7">
        <v>99764.28049012265</v>
      </c>
      <c r="AC3" s="1">
        <v>16.03</v>
      </c>
      <c r="AD3" s="1">
        <v>15</v>
      </c>
      <c r="AE3" s="1">
        <v>17</v>
      </c>
      <c r="AF3" s="1">
        <v>16.8</v>
      </c>
      <c r="AG3" s="1">
        <v>16.03</v>
      </c>
    </row>
    <row r="4" spans="8:33" ht="12.75">
      <c r="H4" s="267">
        <v>41456</v>
      </c>
      <c r="I4" s="6">
        <v>42</v>
      </c>
      <c r="J4" s="6">
        <v>65</v>
      </c>
      <c r="K4" s="1">
        <v>7.415</v>
      </c>
      <c r="M4" s="1">
        <f t="shared" si="0"/>
        <v>7.396259264979545</v>
      </c>
      <c r="N4" s="1">
        <f t="shared" si="1"/>
        <v>7.414999961853027</v>
      </c>
      <c r="P4" s="7">
        <f t="shared" si="2"/>
        <v>-0.018740735020455368</v>
      </c>
      <c r="Q4" s="7"/>
      <c r="S4" s="271">
        <f>-0.0000000000611252</f>
        <v>-6.11252E-11</v>
      </c>
      <c r="T4" s="3" t="s">
        <v>7</v>
      </c>
      <c r="V4" s="1"/>
      <c r="X4" s="7"/>
      <c r="AA4" s="7">
        <v>0</v>
      </c>
      <c r="AC4" s="1">
        <v>15.9</v>
      </c>
      <c r="AD4" s="1">
        <v>15.3</v>
      </c>
      <c r="AE4" s="1">
        <v>16.5</v>
      </c>
      <c r="AF4" s="1">
        <v>16.6</v>
      </c>
      <c r="AG4" s="1">
        <v>15.85</v>
      </c>
    </row>
    <row r="5" spans="8:33" ht="12.75">
      <c r="H5" s="267">
        <v>41487</v>
      </c>
      <c r="I5" s="6">
        <v>65</v>
      </c>
      <c r="J5" s="6">
        <v>108</v>
      </c>
      <c r="K5" s="1">
        <v>7.54</v>
      </c>
      <c r="M5" s="1">
        <f t="shared" si="0"/>
        <v>7.523276767706421</v>
      </c>
      <c r="N5" s="1">
        <f t="shared" si="1"/>
        <v>7.539999961853027</v>
      </c>
      <c r="P5" s="7">
        <f t="shared" si="2"/>
        <v>-0.01672323229357886</v>
      </c>
      <c r="Q5" s="7"/>
      <c r="S5" s="271">
        <f>0.0000000662998747</f>
        <v>6.62998747E-08</v>
      </c>
      <c r="T5" s="3" t="s">
        <v>8</v>
      </c>
      <c r="V5" s="1"/>
      <c r="X5" s="7"/>
      <c r="AA5" s="7">
        <v>-83400.73195630583</v>
      </c>
      <c r="AC5" s="1">
        <v>15.79</v>
      </c>
      <c r="AD5" s="1">
        <v>15.7</v>
      </c>
      <c r="AE5" s="1">
        <v>15.5</v>
      </c>
      <c r="AF5" s="1">
        <v>16.4</v>
      </c>
      <c r="AG5" s="1">
        <v>15.75</v>
      </c>
    </row>
    <row r="6" spans="8:33" ht="12.75">
      <c r="H6" s="267">
        <v>41548</v>
      </c>
      <c r="I6" s="6">
        <v>108</v>
      </c>
      <c r="J6" s="6">
        <v>172</v>
      </c>
      <c r="K6" s="1">
        <v>7.73</v>
      </c>
      <c r="M6" s="1">
        <f t="shared" si="0"/>
        <v>7.703360689674782</v>
      </c>
      <c r="N6" s="1">
        <f t="shared" si="1"/>
        <v>7.730000019073486</v>
      </c>
      <c r="P6" s="7">
        <f t="shared" si="2"/>
        <v>-0.02663931032521827</v>
      </c>
      <c r="Q6" s="7"/>
      <c r="S6" s="271">
        <f>-0.0000326063031071</f>
        <v>-3.26063031071E-05</v>
      </c>
      <c r="T6" s="3" t="s">
        <v>9</v>
      </c>
      <c r="V6" s="1"/>
      <c r="X6" s="7"/>
      <c r="AA6" s="7">
        <f>SUM(AA3:AA5)</f>
        <v>16363.548533816822</v>
      </c>
      <c r="AC6" s="1">
        <v>15.68</v>
      </c>
      <c r="AD6" s="1">
        <v>16</v>
      </c>
      <c r="AE6" s="1">
        <v>15</v>
      </c>
      <c r="AF6" s="1">
        <v>16</v>
      </c>
      <c r="AG6" s="1">
        <v>15.65</v>
      </c>
    </row>
    <row r="7" spans="8:33" ht="12.75">
      <c r="H7" s="267">
        <v>41640</v>
      </c>
      <c r="I7" s="6">
        <v>172</v>
      </c>
      <c r="J7" s="6">
        <v>233</v>
      </c>
      <c r="K7" s="1">
        <v>7.86</v>
      </c>
      <c r="M7" s="1">
        <f t="shared" si="0"/>
        <v>7.87270073034545</v>
      </c>
      <c r="N7" s="1">
        <f t="shared" si="1"/>
        <v>7.860000133514404</v>
      </c>
      <c r="P7" s="7">
        <f t="shared" si="2"/>
        <v>0.012700730345449607</v>
      </c>
      <c r="Q7" s="7"/>
      <c r="S7" s="271">
        <f>+0.0084715528716595</f>
        <v>0.0084715528716595</v>
      </c>
      <c r="T7" s="3" t="s">
        <v>10</v>
      </c>
      <c r="V7" s="1"/>
      <c r="X7" s="7"/>
      <c r="AC7" s="1">
        <v>15.5</v>
      </c>
      <c r="AD7" s="1">
        <v>16.5</v>
      </c>
      <c r="AE7" s="1">
        <v>14.5</v>
      </c>
      <c r="AF7" s="1">
        <v>15.5</v>
      </c>
      <c r="AG7" s="1">
        <v>15.3</v>
      </c>
    </row>
    <row r="8" spans="8:33" ht="12.75">
      <c r="H8" s="267">
        <v>41730</v>
      </c>
      <c r="I8" s="6">
        <v>233</v>
      </c>
      <c r="J8" s="6">
        <v>294</v>
      </c>
      <c r="K8" s="1">
        <v>7.95</v>
      </c>
      <c r="M8" s="1">
        <f t="shared" si="0"/>
        <v>7.969617735124764</v>
      </c>
      <c r="N8" s="1">
        <f t="shared" si="1"/>
        <v>7.949999809265137</v>
      </c>
      <c r="P8" s="7">
        <f t="shared" si="2"/>
        <v>0.019617735124763946</v>
      </c>
      <c r="Q8" s="7"/>
      <c r="S8" s="272">
        <f>+7.09324704481422</f>
        <v>7.09324704481422</v>
      </c>
      <c r="T8" s="3" t="s">
        <v>10</v>
      </c>
      <c r="V8" s="1"/>
      <c r="X8" s="7"/>
      <c r="AC8" s="1">
        <v>15.37</v>
      </c>
      <c r="AD8" s="1">
        <v>15.7</v>
      </c>
      <c r="AE8" s="1">
        <v>15.37</v>
      </c>
      <c r="AF8" s="1">
        <v>15</v>
      </c>
      <c r="AG8" s="1">
        <v>15</v>
      </c>
    </row>
    <row r="9" spans="8:33" ht="12.75">
      <c r="H9" s="267">
        <v>41821</v>
      </c>
      <c r="I9" s="6">
        <v>294</v>
      </c>
      <c r="J9" s="6">
        <v>360</v>
      </c>
      <c r="K9" s="1">
        <v>8.04</v>
      </c>
      <c r="M9" s="1">
        <f t="shared" si="0"/>
        <v>8.038986651988044</v>
      </c>
      <c r="N9" s="1">
        <f t="shared" si="1"/>
        <v>8.039999961853027</v>
      </c>
      <c r="P9" s="7">
        <f t="shared" si="2"/>
        <v>-0.0010133480119556282</v>
      </c>
      <c r="Q9" s="7"/>
      <c r="T9" s="5"/>
      <c r="V9" s="1"/>
      <c r="X9" s="7"/>
      <c r="AC9" s="1">
        <v>15.41</v>
      </c>
      <c r="AD9" s="1">
        <v>15.4</v>
      </c>
      <c r="AE9" s="1">
        <v>15.7</v>
      </c>
      <c r="AF9" s="1">
        <v>14.8</v>
      </c>
      <c r="AG9" s="1">
        <v>14.7</v>
      </c>
    </row>
    <row r="10" spans="8:33" ht="12.75">
      <c r="H10" s="267">
        <v>41913</v>
      </c>
      <c r="I10" s="6">
        <v>360</v>
      </c>
      <c r="J10" s="6">
        <v>425</v>
      </c>
      <c r="K10" s="1">
        <v>8.08</v>
      </c>
      <c r="M10" s="1">
        <f t="shared" si="0"/>
        <v>8.10858923179068</v>
      </c>
      <c r="N10" s="1">
        <f t="shared" si="1"/>
        <v>8.079999923706055</v>
      </c>
      <c r="P10" s="7">
        <f t="shared" si="2"/>
        <v>0.028589231790679293</v>
      </c>
      <c r="Q10" s="7"/>
      <c r="T10" s="5"/>
      <c r="V10" s="1"/>
      <c r="AC10" s="1">
        <v>15.47</v>
      </c>
      <c r="AD10" s="1">
        <v>14.5</v>
      </c>
      <c r="AE10" s="1">
        <v>17</v>
      </c>
      <c r="AF10" s="1">
        <v>14.5</v>
      </c>
      <c r="AG10" s="1">
        <v>14.3</v>
      </c>
    </row>
    <row r="11" spans="8:22" ht="12.75">
      <c r="H11" s="267">
        <v>42005</v>
      </c>
      <c r="I11" s="6">
        <v>425</v>
      </c>
      <c r="J11" s="6">
        <v>486</v>
      </c>
      <c r="K11" s="1">
        <v>8.19</v>
      </c>
      <c r="M11" s="1">
        <f t="shared" si="0"/>
        <v>8.185512576937851</v>
      </c>
      <c r="N11" s="1">
        <f t="shared" si="1"/>
        <v>8.1899995803833</v>
      </c>
      <c r="P11" s="7">
        <f t="shared" si="2"/>
        <v>-0.00448742306214811</v>
      </c>
      <c r="Q11" s="7"/>
      <c r="V11" s="1"/>
    </row>
    <row r="12" spans="8:22" ht="12.75">
      <c r="H12" s="267">
        <v>42095</v>
      </c>
      <c r="I12" s="6">
        <v>486</v>
      </c>
      <c r="J12" s="6">
        <v>547</v>
      </c>
      <c r="K12" s="1">
        <v>8.3</v>
      </c>
      <c r="M12" s="1">
        <f t="shared" si="0"/>
        <v>8.268849007733579</v>
      </c>
      <c r="N12" s="1">
        <f t="shared" si="1"/>
        <v>8.300000190734863</v>
      </c>
      <c r="P12" s="7">
        <f t="shared" si="2"/>
        <v>-0.03115099226642215</v>
      </c>
      <c r="Q12" s="7"/>
      <c r="V12" s="1"/>
    </row>
    <row r="13" spans="8:22" ht="12.75">
      <c r="H13" s="267">
        <v>42186</v>
      </c>
      <c r="I13" s="6">
        <v>547</v>
      </c>
      <c r="J13" s="6">
        <v>612</v>
      </c>
      <c r="K13" s="1">
        <v>8.39</v>
      </c>
      <c r="M13" s="1">
        <f t="shared" si="0"/>
        <v>8.36018018632792</v>
      </c>
      <c r="N13" s="1">
        <f t="shared" si="1"/>
        <v>8.390000343322754</v>
      </c>
      <c r="P13" s="7">
        <f t="shared" si="2"/>
        <v>-0.02981981367208064</v>
      </c>
      <c r="Q13" s="7"/>
      <c r="V13" s="1"/>
    </row>
    <row r="14" spans="8:22" ht="12.75">
      <c r="H14" s="267">
        <v>42278</v>
      </c>
      <c r="I14" s="6">
        <v>612</v>
      </c>
      <c r="J14" s="6">
        <v>675</v>
      </c>
      <c r="K14" s="1">
        <v>8.44</v>
      </c>
      <c r="M14" s="1">
        <f t="shared" si="0"/>
        <v>8.458975933400751</v>
      </c>
      <c r="N14" s="1">
        <f t="shared" si="1"/>
        <v>8.4399995803833</v>
      </c>
      <c r="P14" s="7">
        <f t="shared" si="2"/>
        <v>0.018975933400751543</v>
      </c>
      <c r="Q14" s="7"/>
      <c r="V14" s="1"/>
    </row>
    <row r="15" spans="8:22" ht="12.75">
      <c r="H15" s="267">
        <v>42370</v>
      </c>
      <c r="I15" s="6">
        <v>675</v>
      </c>
      <c r="J15" s="6">
        <v>736</v>
      </c>
      <c r="K15" s="1">
        <v>8.54</v>
      </c>
      <c r="M15" s="1">
        <f t="shared" si="0"/>
        <v>8.547184599095543</v>
      </c>
      <c r="N15" s="1">
        <f t="shared" si="1"/>
        <v>8.539999961853027</v>
      </c>
      <c r="P15" s="7">
        <f t="shared" si="2"/>
        <v>0.007184599095543476</v>
      </c>
      <c r="Q15" s="7"/>
      <c r="V15" s="1"/>
    </row>
    <row r="16" spans="8:22" ht="12.75">
      <c r="H16" s="267">
        <v>42461</v>
      </c>
      <c r="I16" s="6">
        <v>736</v>
      </c>
      <c r="J16" s="6">
        <v>799</v>
      </c>
      <c r="K16" s="1">
        <v>8.6</v>
      </c>
      <c r="M16" s="1">
        <f t="shared" si="0"/>
        <v>8.617757865336703</v>
      </c>
      <c r="N16" s="1">
        <f t="shared" si="1"/>
        <v>8.600000381469727</v>
      </c>
      <c r="P16" s="7">
        <f t="shared" si="2"/>
        <v>0.017757865336703205</v>
      </c>
      <c r="Q16" s="7"/>
      <c r="V16" s="1"/>
    </row>
    <row r="17" spans="8:22" ht="12.75">
      <c r="H17" s="267">
        <v>42552</v>
      </c>
      <c r="I17" s="6">
        <v>799</v>
      </c>
      <c r="J17" s="6">
        <v>864</v>
      </c>
      <c r="K17" s="1">
        <v>8.66</v>
      </c>
      <c r="M17" s="1">
        <f t="shared" si="0"/>
        <v>8.670482037791837</v>
      </c>
      <c r="N17" s="1">
        <f t="shared" si="1"/>
        <v>8.65999984741211</v>
      </c>
      <c r="P17" s="7">
        <f t="shared" si="2"/>
        <v>0.010482037791836873</v>
      </c>
      <c r="Q17" s="7"/>
      <c r="V17" s="1"/>
    </row>
    <row r="18" spans="8:22" ht="12.75">
      <c r="H18" s="267">
        <v>42644</v>
      </c>
      <c r="I18" s="6">
        <v>864</v>
      </c>
      <c r="J18" s="6">
        <v>926</v>
      </c>
      <c r="K18" s="1">
        <v>8.68</v>
      </c>
      <c r="M18" s="1">
        <f t="shared" si="0"/>
        <v>8.704105510213093</v>
      </c>
      <c r="N18" s="1">
        <f t="shared" si="1"/>
        <v>8.680000305175781</v>
      </c>
      <c r="P18" s="7">
        <f t="shared" si="2"/>
        <v>0.024105510213093595</v>
      </c>
      <c r="Q18" s="7"/>
      <c r="V18" s="1"/>
    </row>
    <row r="19" spans="8:22" ht="15">
      <c r="H19" s="267">
        <v>42736</v>
      </c>
      <c r="I19" s="6">
        <v>926</v>
      </c>
      <c r="J19" s="6">
        <v>989</v>
      </c>
      <c r="K19" s="1">
        <v>8.75</v>
      </c>
      <c r="M19" s="1">
        <f t="shared" si="0"/>
        <v>8.725215910185044</v>
      </c>
      <c r="N19" s="1">
        <f t="shared" si="1"/>
        <v>8.75</v>
      </c>
      <c r="P19" s="7">
        <f t="shared" si="2"/>
        <v>-0.024784089814955834</v>
      </c>
      <c r="Q19" s="7"/>
      <c r="R19" s="15"/>
      <c r="V19" s="1"/>
    </row>
    <row r="20" spans="8:22" ht="12.75">
      <c r="H20" s="267">
        <v>42826</v>
      </c>
      <c r="I20" s="6">
        <v>989</v>
      </c>
      <c r="J20" s="6">
        <v>1050</v>
      </c>
      <c r="K20" s="1">
        <v>8.75</v>
      </c>
      <c r="M20" s="1">
        <f t="shared" si="0"/>
        <v>8.754956139776006</v>
      </c>
      <c r="N20" s="1">
        <f t="shared" si="1"/>
        <v>8.75</v>
      </c>
      <c r="P20" s="7">
        <f t="shared" si="2"/>
        <v>0.004956139776005841</v>
      </c>
      <c r="Q20" s="7"/>
      <c r="V20" s="1"/>
    </row>
    <row r="21" spans="8:22" ht="12.75">
      <c r="H21" s="267">
        <v>42917</v>
      </c>
      <c r="I21" s="6">
        <v>1050</v>
      </c>
      <c r="J21" s="6">
        <v>1114</v>
      </c>
      <c r="K21" s="1">
        <v>8.79</v>
      </c>
      <c r="M21" s="1">
        <f t="shared" si="0"/>
        <v>8.821946835941464</v>
      </c>
      <c r="N21" s="1">
        <f t="shared" si="1"/>
        <v>8.789999961853027</v>
      </c>
      <c r="P21" s="7">
        <f t="shared" si="2"/>
        <v>0.03194683594146497</v>
      </c>
      <c r="Q21" s="7"/>
      <c r="V21" s="1"/>
    </row>
    <row r="22" spans="8:17" ht="12.75">
      <c r="H22" s="267">
        <v>43009</v>
      </c>
      <c r="I22" s="6">
        <v>1114</v>
      </c>
      <c r="J22" s="6"/>
      <c r="K22" s="1">
        <v>8.96</v>
      </c>
      <c r="M22" s="1">
        <f t="shared" si="0"/>
        <v>8.980306629996733</v>
      </c>
      <c r="N22" s="1">
        <f t="shared" si="1"/>
        <v>8.960000038146973</v>
      </c>
      <c r="P22" s="7">
        <f t="shared" si="2"/>
        <v>0.02030662999673183</v>
      </c>
      <c r="Q22" s="7"/>
    </row>
    <row r="23" spans="8:16" ht="12.75">
      <c r="H23" s="46" t="s">
        <v>95</v>
      </c>
      <c r="I23" s="122">
        <v>300</v>
      </c>
      <c r="J23" s="6"/>
      <c r="K23" s="1"/>
      <c r="L23" s="7">
        <f>$S$3*I23^5+$S$4*I23^4+$S$5*I23^3+$S$6*I23^2+$S$7*I23+$S$8</f>
        <v>8.04525902357307</v>
      </c>
      <c r="M23" s="1"/>
      <c r="N23" s="1">
        <f t="shared" si="1"/>
        <v>8.044955729645267</v>
      </c>
      <c r="P23" s="7"/>
    </row>
    <row r="24" spans="4:16" ht="12.75">
      <c r="D24" s="46" t="s">
        <v>53</v>
      </c>
      <c r="J24" s="6"/>
      <c r="L24" s="1"/>
      <c r="M24" s="7"/>
      <c r="N24" s="1"/>
      <c r="P24" s="7"/>
    </row>
    <row r="25" spans="3:16" ht="12.75">
      <c r="C25" t="s">
        <v>0</v>
      </c>
      <c r="D25" s="47"/>
      <c r="E25" s="13">
        <f>VLOOKUP(E29,I3:J22,1)</f>
        <v>294</v>
      </c>
      <c r="F25" s="11">
        <f>VLOOKUP(E25,$I$3:$K$21,3,FALSE)</f>
        <v>8.04</v>
      </c>
      <c r="G25" s="11">
        <f>(1+F25/100)^(E25/252)</f>
        <v>1.094414919188187</v>
      </c>
      <c r="L25" s="1"/>
      <c r="M25" s="7"/>
      <c r="N25" s="1"/>
      <c r="P25" s="7"/>
    </row>
    <row r="26" spans="3:17" ht="12.75">
      <c r="C26" t="s">
        <v>13</v>
      </c>
      <c r="E26" s="13">
        <f>VLOOKUP(E29,I3:J22,2)</f>
        <v>360</v>
      </c>
      <c r="F26" s="11">
        <f>VLOOKUP(E26,$I$3:$K$21,3,FALSE)</f>
        <v>8.08</v>
      </c>
      <c r="G26" s="11">
        <f>(1+F26/100)^(E26/252)</f>
        <v>1.1173973135083493</v>
      </c>
      <c r="L26" s="1"/>
      <c r="M26" s="7"/>
      <c r="N26" s="1"/>
      <c r="P26" s="7"/>
      <c r="Q26" s="7"/>
    </row>
    <row r="27" spans="3:17" ht="12.75">
      <c r="C27" t="s">
        <v>14</v>
      </c>
      <c r="D27" s="2"/>
      <c r="E27" s="12" t="s">
        <v>21</v>
      </c>
      <c r="F27" s="11">
        <f>(G27^(252/(E26-E25))-1)*100</f>
        <v>8.258361809901583</v>
      </c>
      <c r="G27" s="10">
        <f>G26/G25</f>
        <v>1.0209997085357811</v>
      </c>
      <c r="L27" s="1"/>
      <c r="M27" s="7"/>
      <c r="N27" s="1"/>
      <c r="P27" s="7"/>
      <c r="Q27" s="7"/>
    </row>
    <row r="28" spans="5:16" ht="12.75">
      <c r="E28" s="12" t="s">
        <v>22</v>
      </c>
      <c r="F28" s="10"/>
      <c r="G28" s="10"/>
      <c r="L28" s="1"/>
      <c r="M28" s="7"/>
      <c r="N28" s="1"/>
      <c r="P28" s="7"/>
    </row>
    <row r="29" spans="3:16" ht="12.75">
      <c r="C29" t="s">
        <v>12</v>
      </c>
      <c r="E29" s="10">
        <v>300</v>
      </c>
      <c r="F29" s="11">
        <f>(G29^(252/E29)-1)*100</f>
        <v>8.044362916871517</v>
      </c>
      <c r="G29" s="10">
        <f>G25*G27^((E29-E25)/(E26-E25))</f>
        <v>1.0964845471438995</v>
      </c>
      <c r="L29" s="1"/>
      <c r="M29" s="7"/>
      <c r="N29" s="1"/>
      <c r="P29" s="7"/>
    </row>
    <row r="30" spans="3:16" ht="12.75">
      <c r="C30" t="s">
        <v>11</v>
      </c>
      <c r="E30" s="10"/>
      <c r="F30" s="11"/>
      <c r="G30" s="10"/>
      <c r="L30" s="1"/>
      <c r="M30" s="7"/>
      <c r="N30" s="1"/>
      <c r="P30" s="7"/>
    </row>
    <row r="31" spans="14:17" ht="12.75">
      <c r="N31" s="1"/>
      <c r="Q31" s="1"/>
    </row>
    <row r="32" ht="12.75">
      <c r="H32" s="121"/>
    </row>
    <row r="33" ht="13.5" thickBot="1">
      <c r="H33" s="121"/>
    </row>
    <row r="34" spans="3:8" ht="12.75">
      <c r="C34" s="174" t="s">
        <v>116</v>
      </c>
      <c r="D34" s="175" t="s">
        <v>52</v>
      </c>
      <c r="E34" s="176"/>
      <c r="F34" s="176"/>
      <c r="G34" s="176"/>
      <c r="H34" s="177"/>
    </row>
    <row r="35" spans="3:8" ht="12.75">
      <c r="C35" s="297">
        <v>41413</v>
      </c>
      <c r="D35" s="1">
        <v>7.24</v>
      </c>
      <c r="E35" s="23"/>
      <c r="F35" s="179"/>
      <c r="G35" s="180"/>
      <c r="H35" s="181"/>
    </row>
    <row r="36" spans="1:10" ht="12.75">
      <c r="A36" s="7"/>
      <c r="C36" s="178">
        <v>41428</v>
      </c>
      <c r="D36" s="1">
        <f>cubic_spline($I$3:$I$22,$K$3:$K$22,E36)</f>
        <v>7.102920054314745</v>
      </c>
      <c r="E36" s="23">
        <f>_XLL.DIATRABALHOTOTAL($C$35,C36,Feriado!$A$1:$L$62)-1</f>
        <v>9</v>
      </c>
      <c r="F36" s="179">
        <f>(1+D36/100)^(E36/252)</f>
        <v>1.0024537217398213</v>
      </c>
      <c r="G36" s="185">
        <f>F36</f>
        <v>1.0024537217398213</v>
      </c>
      <c r="H36" s="182">
        <f>(G36^(252/(E36-E35))-1)*100</f>
        <v>7.1029200543148985</v>
      </c>
      <c r="J36" s="43"/>
    </row>
    <row r="37" spans="1:12" ht="12.75">
      <c r="A37" s="7"/>
      <c r="B37" s="7"/>
      <c r="C37" s="178">
        <v>41456</v>
      </c>
      <c r="D37" s="1">
        <f aca="true" t="shared" si="3" ref="D37:D47">cubic_spline($I$3:$I$22,$K$3:$K$22,E37)</f>
        <v>7.3003374455314765</v>
      </c>
      <c r="E37" s="23">
        <f>_XLL.DIATRABALHOTOTAL($C$35,C37,Feriado!$A$1:$L$62)-1</f>
        <v>29</v>
      </c>
      <c r="F37" s="179">
        <f aca="true" t="shared" si="4" ref="F37:F43">(1+D37/100)^(E37/252)</f>
        <v>1.0081416415328865</v>
      </c>
      <c r="G37" s="180">
        <f>F37/F36</f>
        <v>1.0056739973823365</v>
      </c>
      <c r="H37" s="182">
        <f>(G37^(252/(E37-E36))-1)*100</f>
        <v>7.38929395043324</v>
      </c>
      <c r="J37" s="43"/>
      <c r="K37" s="6"/>
      <c r="L37" s="6"/>
    </row>
    <row r="38" spans="1:9" ht="12.75">
      <c r="A38" s="7"/>
      <c r="B38" s="7"/>
      <c r="C38" s="178">
        <v>41487</v>
      </c>
      <c r="D38" s="1">
        <f t="shared" si="3"/>
        <v>7.477820209347655</v>
      </c>
      <c r="E38" s="23">
        <f>_XLL.DIATRABALHOTOTAL($C$35,C38,Feriado!$A$1:$L$62)-1</f>
        <v>52</v>
      </c>
      <c r="F38" s="179">
        <f t="shared" si="4"/>
        <v>1.0149920013392857</v>
      </c>
      <c r="G38" s="180">
        <f aca="true" t="shared" si="5" ref="G38:G43">F38/F37</f>
        <v>1.006795037050531</v>
      </c>
      <c r="H38" s="182">
        <f aca="true" t="shared" si="6" ref="H38:H43">(G38^(252/(E38-E37))-1)*100</f>
        <v>7.702021318746777</v>
      </c>
      <c r="I38" s="161"/>
    </row>
    <row r="39" spans="1:9" ht="12.75">
      <c r="A39" s="7"/>
      <c r="B39" s="7"/>
      <c r="C39" s="178">
        <v>41519</v>
      </c>
      <c r="D39" s="1">
        <f t="shared" si="3"/>
        <v>7.581976909746794</v>
      </c>
      <c r="E39" s="23">
        <f>_XLL.DIATRABALHOTOTAL($C$35,C39,Feriado!$A$1:$L$62)-1</f>
        <v>74</v>
      </c>
      <c r="F39" s="179">
        <f t="shared" si="4"/>
        <v>1.0216928059656536</v>
      </c>
      <c r="G39" s="180">
        <f>F39/F38</f>
        <v>1.0066018299824295</v>
      </c>
      <c r="H39" s="182">
        <f t="shared" si="6"/>
        <v>7.828566901312239</v>
      </c>
      <c r="I39" s="161"/>
    </row>
    <row r="40" spans="1:9" ht="12.75">
      <c r="A40" s="7"/>
      <c r="B40" s="7"/>
      <c r="C40" s="178">
        <v>41548</v>
      </c>
      <c r="D40" s="1">
        <f t="shared" si="3"/>
        <v>7.678493581979334</v>
      </c>
      <c r="E40" s="23">
        <f>_XLL.DIATRABALHOTOTAL($C$35,C40,Feriado!$A$1:$L$62)-1</f>
        <v>95</v>
      </c>
      <c r="F40" s="179">
        <f t="shared" si="4"/>
        <v>1.028281712477362</v>
      </c>
      <c r="G40" s="180">
        <f t="shared" si="5"/>
        <v>1.0064490094020784</v>
      </c>
      <c r="H40" s="182">
        <f t="shared" si="6"/>
        <v>8.019290635230236</v>
      </c>
      <c r="I40" s="161"/>
    </row>
    <row r="41" spans="3:9" ht="12.75">
      <c r="C41" s="178">
        <v>41579</v>
      </c>
      <c r="D41" s="1">
        <f t="shared" si="3"/>
        <v>7.7620575756021</v>
      </c>
      <c r="E41" s="23">
        <f>_XLL.DIATRABALHOTOTAL($C$35,C41,Feriado!$A$1:$L$62)-1</f>
        <v>118</v>
      </c>
      <c r="F41" s="179">
        <f t="shared" si="4"/>
        <v>1.0356244016416163</v>
      </c>
      <c r="G41" s="180">
        <f t="shared" si="5"/>
        <v>1.0071407368964718</v>
      </c>
      <c r="H41" s="182">
        <f t="shared" si="6"/>
        <v>8.107900872956941</v>
      </c>
      <c r="I41" s="161"/>
    </row>
    <row r="42" spans="3:9" ht="13.5" thickBot="1">
      <c r="C42" s="183">
        <v>41609</v>
      </c>
      <c r="D42" s="1">
        <f t="shared" si="3"/>
        <v>7.8071247707003035</v>
      </c>
      <c r="E42" s="23">
        <f>_XLL.DIATRABALHOTOTAL($C$35,C42,Feriado!$A$1:$L$62)-1</f>
        <v>137</v>
      </c>
      <c r="F42" s="179">
        <f t="shared" si="4"/>
        <v>1.0417147641885176</v>
      </c>
      <c r="G42" s="180">
        <f t="shared" si="5"/>
        <v>1.0058808604135314</v>
      </c>
      <c r="H42" s="182">
        <f t="shared" si="6"/>
        <v>8.087438086383237</v>
      </c>
      <c r="I42" s="161"/>
    </row>
    <row r="43" spans="3:10" ht="13.5" thickBot="1">
      <c r="C43" s="183">
        <v>41642</v>
      </c>
      <c r="D43" s="1">
        <f t="shared" si="3"/>
        <v>7.843954944655138</v>
      </c>
      <c r="E43" s="23">
        <f>_XLL.DIATRABALHOTOTAL($C$35,C43,Feriado!$A$1:$L$62)-1</f>
        <v>160</v>
      </c>
      <c r="F43" s="179">
        <f t="shared" si="4"/>
        <v>1.0491141246638398</v>
      </c>
      <c r="G43" s="180">
        <f t="shared" si="5"/>
        <v>1.0071030580823976</v>
      </c>
      <c r="H43" s="182">
        <f t="shared" si="6"/>
        <v>8.063595508011169</v>
      </c>
      <c r="I43" s="6"/>
      <c r="J43" s="8"/>
    </row>
    <row r="44" spans="3:10" ht="13.5" thickBot="1">
      <c r="C44" s="183">
        <v>41671</v>
      </c>
      <c r="D44" s="1">
        <f t="shared" si="3"/>
        <v>7.870767059216387</v>
      </c>
      <c r="E44" s="23">
        <f>_XLL.DIATRABALHOTOTAL($C$35,C44,Feriado!$A$1:$L$62)-1</f>
        <v>180</v>
      </c>
      <c r="F44" s="179">
        <f>(1+D44/100)^(E44/252)</f>
        <v>1.0556080432711734</v>
      </c>
      <c r="G44" s="180">
        <f>F44/F43</f>
        <v>1.0061899067552964</v>
      </c>
      <c r="H44" s="182">
        <f>(G44^(252/(E44-E43))-1)*100</f>
        <v>8.085504091533458</v>
      </c>
      <c r="I44" s="6"/>
      <c r="J44" s="8"/>
    </row>
    <row r="45" spans="3:10" ht="13.5" thickBot="1">
      <c r="C45" s="183">
        <v>41699</v>
      </c>
      <c r="D45" s="1">
        <f t="shared" si="3"/>
        <v>7.898895357089057</v>
      </c>
      <c r="E45" s="23">
        <f>_XLL.DIATRABALHOTOTAL($C$35,C45,Feriado!$A$1:$L$62)-1</f>
        <v>200</v>
      </c>
      <c r="F45" s="179">
        <f>(1+D45/100)^(E45/252)</f>
        <v>1.0621943012460409</v>
      </c>
      <c r="G45" s="180">
        <f>F45/F44</f>
        <v>1.0062393025677008</v>
      </c>
      <c r="H45" s="182">
        <f>(G45^(252/(E45-E44))-1)*100</f>
        <v>8.152380329653951</v>
      </c>
      <c r="I45" s="161"/>
      <c r="J45" s="6"/>
    </row>
    <row r="46" spans="3:10" ht="13.5" thickBot="1">
      <c r="C46" s="183">
        <v>41730</v>
      </c>
      <c r="D46" s="1">
        <f t="shared" si="3"/>
        <v>7.929080724843002</v>
      </c>
      <c r="E46" s="23">
        <f>_XLL.DIATRABALHOTOTAL($C$35,C46,Feriado!$A$1:$L$62)-1</f>
        <v>220</v>
      </c>
      <c r="F46" s="179">
        <f>(1+D46/100)^(E46/252)</f>
        <v>1.0688836089163818</v>
      </c>
      <c r="G46" s="180">
        <f>F46/F45</f>
        <v>1.0062976309160139</v>
      </c>
      <c r="H46" s="182">
        <f>(G46^(252/(E46-E45))-1)*100</f>
        <v>8.231399242041594</v>
      </c>
      <c r="J46" s="8"/>
    </row>
    <row r="47" spans="3:9" ht="13.5" thickBot="1">
      <c r="C47" s="183">
        <v>41761</v>
      </c>
      <c r="D47" s="1">
        <f t="shared" si="3"/>
        <v>7.961697364389894</v>
      </c>
      <c r="E47" s="23">
        <f>_XLL.DIATRABALHOTOTAL($C$35,C47,Feriado!$A$1:$L$62)-1</f>
        <v>240</v>
      </c>
      <c r="F47" s="179">
        <f>(1+D47/100)^(E47/252)</f>
        <v>1.0756857917559457</v>
      </c>
      <c r="G47" s="180">
        <f>F47/F46</f>
        <v>1.0063638199545972</v>
      </c>
      <c r="H47" s="182">
        <f>(G47^(252/(E47-E46))-1)*100</f>
        <v>8.321131609987088</v>
      </c>
      <c r="I47" s="161"/>
    </row>
    <row r="48" spans="5:9" ht="12.75">
      <c r="E48" s="8"/>
      <c r="I48" s="161"/>
    </row>
    <row r="49" ht="12.75">
      <c r="I49" s="161"/>
    </row>
    <row r="50" spans="9:12" ht="12.75">
      <c r="I50" s="167" t="s">
        <v>142</v>
      </c>
      <c r="K50" s="46" t="s">
        <v>141</v>
      </c>
      <c r="L50" s="32"/>
    </row>
    <row r="51" spans="11:12" ht="12.75">
      <c r="K51" s="172"/>
      <c r="L51" s="32"/>
    </row>
    <row r="52" spans="2:12" ht="12.75">
      <c r="B52" s="20"/>
      <c r="C52" s="16"/>
      <c r="D52" s="16"/>
      <c r="E52" s="6"/>
      <c r="F52" s="184">
        <f>D36</f>
        <v>7.102920054314745</v>
      </c>
      <c r="G52" s="20"/>
      <c r="K52" s="172"/>
      <c r="L52" s="32"/>
    </row>
    <row r="53" spans="11:17" ht="12.75">
      <c r="K53" s="172"/>
      <c r="L53" s="32"/>
      <c r="P53">
        <v>1</v>
      </c>
      <c r="Q53">
        <f>F52</f>
        <v>7.102920054314745</v>
      </c>
    </row>
    <row r="54" spans="1:17" ht="12.75">
      <c r="A54" s="6">
        <f>_XLL.DIATRABALHOTOTAL($C$54,D54,Feriado!$A$1:$L$62)-1</f>
        <v>20</v>
      </c>
      <c r="B54" s="290">
        <f>G36*G37</f>
        <v>1.0081416415328865</v>
      </c>
      <c r="C54" s="169">
        <v>41396</v>
      </c>
      <c r="D54" s="17">
        <v>41425</v>
      </c>
      <c r="E54" s="168">
        <f>_XLL.DIATRABALHOTOTAL(C54,D54,Feriado!$A$1:$L$62)-1</f>
        <v>20</v>
      </c>
      <c r="F54" s="5">
        <f>F52</f>
        <v>7.102920054314745</v>
      </c>
      <c r="G54" s="20">
        <f>(1+F54/100)^(E54/252)</f>
        <v>1.00546089279045</v>
      </c>
      <c r="K54" s="172"/>
      <c r="L54" s="291"/>
      <c r="P54">
        <v>2</v>
      </c>
      <c r="Q54">
        <f aca="true" t="shared" si="7" ref="Q54:Q60">F54</f>
        <v>7.102920054314745</v>
      </c>
    </row>
    <row r="55" spans="1:17" ht="12.75">
      <c r="A55" s="6">
        <f>_XLL.DIATRABALHOTOTAL($C$54,D55,Feriado!$A$1:$L$62)-1</f>
        <v>41</v>
      </c>
      <c r="C55" s="169">
        <f aca="true" t="shared" si="8" ref="C55:C67">D54</f>
        <v>41425</v>
      </c>
      <c r="D55" s="169">
        <v>41456</v>
      </c>
      <c r="E55" s="168">
        <f>_XLL.DIATRABALHOTOTAL(C55,D55,Feriado!$A$1:$L$62)-1</f>
        <v>21</v>
      </c>
      <c r="F55" s="170">
        <f>ROUND(((B54/G54)^(252/E55)-1)*100,2)</f>
        <v>3.25</v>
      </c>
      <c r="H55" s="171">
        <f>(F55-F54)*100</f>
        <v>-385.2920054314745</v>
      </c>
      <c r="K55" s="172">
        <f>H55-I55</f>
        <v>-385.2920054314745</v>
      </c>
      <c r="L55" s="291"/>
      <c r="P55">
        <v>2</v>
      </c>
      <c r="Q55">
        <f t="shared" si="7"/>
        <v>3.25</v>
      </c>
    </row>
    <row r="56" spans="1:17" ht="12.75">
      <c r="A56" s="6">
        <f>_XLL.DIATRABALHOTOTAL($C$54,D56,Feriado!$A$1:$L$62)-1</f>
        <v>49</v>
      </c>
      <c r="B56">
        <f>G38</f>
        <v>1.006795037050531</v>
      </c>
      <c r="C56" s="136">
        <f t="shared" si="8"/>
        <v>41456</v>
      </c>
      <c r="D56" s="16">
        <v>41466</v>
      </c>
      <c r="E56" s="6">
        <f>_XLL.DIATRABALHOTOTAL(C56,D56,Feriado!$A$1:$L$62)-1</f>
        <v>8</v>
      </c>
      <c r="F56">
        <f>F55</f>
        <v>3.25</v>
      </c>
      <c r="G56" s="20">
        <f>(1+F56/100)^(E56/252)</f>
        <v>1.001015850415849</v>
      </c>
      <c r="K56" s="172"/>
      <c r="L56" s="291"/>
      <c r="P56">
        <v>3</v>
      </c>
      <c r="Q56">
        <f t="shared" si="7"/>
        <v>3.25</v>
      </c>
    </row>
    <row r="57" spans="1:17" ht="12.75">
      <c r="A57" s="6">
        <f>_XLL.DIATRABALHOTOTAL($C$54,D57,Feriado!$A$1:$L$62)-1</f>
        <v>64</v>
      </c>
      <c r="C57" s="16">
        <f t="shared" si="8"/>
        <v>41466</v>
      </c>
      <c r="D57" s="16">
        <v>41487</v>
      </c>
      <c r="E57" s="6">
        <f>_XLL.DIATRABALHOTOTAL(C57,D57,Feriado!$A$1:$L$62)-1</f>
        <v>15</v>
      </c>
      <c r="F57" s="170">
        <f>ROUND(((B56/G56)^(252/E57)-1)*100,2)</f>
        <v>10.15</v>
      </c>
      <c r="H57" s="171">
        <f>(F57-F56)*100</f>
        <v>690</v>
      </c>
      <c r="K57" s="172">
        <f>H57-I57</f>
        <v>690</v>
      </c>
      <c r="L57" s="291"/>
      <c r="P57">
        <v>3</v>
      </c>
      <c r="Q57">
        <f t="shared" si="7"/>
        <v>10.15</v>
      </c>
    </row>
    <row r="58" spans="1:17" ht="12.75">
      <c r="A58" s="6">
        <f>_XLL.DIATRABALHOTOTAL($C$54,D58,Feriado!$A$1:$L$62)-1</f>
        <v>84</v>
      </c>
      <c r="B58">
        <f>G39*G40</f>
        <v>1.0130934146481356</v>
      </c>
      <c r="C58" s="17">
        <f t="shared" si="8"/>
        <v>41487</v>
      </c>
      <c r="D58" s="17">
        <v>41515</v>
      </c>
      <c r="E58" s="168">
        <f>_XLL.DIATRABALHOTOTAL(C58,D58,Feriado!$A$1:$L$62)-1</f>
        <v>20</v>
      </c>
      <c r="F58">
        <f>F57</f>
        <v>10.15</v>
      </c>
      <c r="G58" s="20">
        <f>(1+F58/100)^(E58/252)</f>
        <v>1.0077019600445538</v>
      </c>
      <c r="K58" s="172"/>
      <c r="L58" s="291"/>
      <c r="P58">
        <v>4</v>
      </c>
      <c r="Q58">
        <f t="shared" si="7"/>
        <v>10.15</v>
      </c>
    </row>
    <row r="59" spans="1:17" ht="12.75">
      <c r="A59" s="6">
        <f>_XLL.DIATRABALHOTOTAL($C$54,D59,Feriado!$A$1:$L$62)-1</f>
        <v>107</v>
      </c>
      <c r="C59" s="17">
        <f t="shared" si="8"/>
        <v>41515</v>
      </c>
      <c r="D59" s="17">
        <v>41548</v>
      </c>
      <c r="E59" s="168">
        <f>_XLL.DIATRABALHOTOTAL(C59,D59,Feriado!$A$1:$L$62)-1</f>
        <v>23</v>
      </c>
      <c r="F59" s="170">
        <f>ROUND(((B58/G58)^(252/E59)-1)*100,2)</f>
        <v>6.02</v>
      </c>
      <c r="H59" s="171">
        <f>(F59-F58)*100</f>
        <v>-413.00000000000006</v>
      </c>
      <c r="K59" s="172">
        <f>H59-I59</f>
        <v>-413.00000000000006</v>
      </c>
      <c r="L59" s="291"/>
      <c r="P59">
        <v>4</v>
      </c>
      <c r="Q59">
        <f t="shared" si="7"/>
        <v>6.02</v>
      </c>
    </row>
    <row r="60" spans="1:17" ht="12.75">
      <c r="A60" s="6">
        <f>_XLL.DIATRABALHOTOTAL($C$54,D60,Feriado!$A$1:$L$62)-1</f>
        <v>114</v>
      </c>
      <c r="B60">
        <f>G41</f>
        <v>1.0071407368964718</v>
      </c>
      <c r="C60" s="16">
        <f t="shared" si="8"/>
        <v>41548</v>
      </c>
      <c r="D60" s="136">
        <v>41557</v>
      </c>
      <c r="E60" s="6">
        <f>_XLL.DIATRABALHOTOTAL(C60,D60,Feriado!$A$1:$L$62)-1</f>
        <v>7</v>
      </c>
      <c r="F60">
        <f>F59</f>
        <v>6.02</v>
      </c>
      <c r="G60" s="20">
        <f>(1+F60/100)^(E60/252)</f>
        <v>1.0016251404888243</v>
      </c>
      <c r="K60" s="172"/>
      <c r="L60" s="291"/>
      <c r="P60">
        <v>5</v>
      </c>
      <c r="Q60">
        <f t="shared" si="7"/>
        <v>6.02</v>
      </c>
    </row>
    <row r="61" spans="1:17" ht="12.75">
      <c r="A61" s="6">
        <f>_XLL.DIATRABALHOTOTAL($C$54,D61,Feriado!$A$1:$L$62)-1</f>
        <v>130</v>
      </c>
      <c r="C61" s="16">
        <f t="shared" si="8"/>
        <v>41557</v>
      </c>
      <c r="D61" s="136">
        <v>41579</v>
      </c>
      <c r="E61" s="6">
        <f>_XLL.DIATRABALHOTOTAL(C61,D61,Feriado!$A$1:$L$62)-1</f>
        <v>16</v>
      </c>
      <c r="F61" s="170">
        <f>ROUND(((B60/G60)^(252/E61)-1)*100,2)</f>
        <v>9.03</v>
      </c>
      <c r="H61" s="171">
        <f>(F61-F60)*100</f>
        <v>301</v>
      </c>
      <c r="K61" s="172">
        <f>H61-I61</f>
        <v>301</v>
      </c>
      <c r="L61" s="291"/>
      <c r="P61" s="121">
        <v>5</v>
      </c>
      <c r="Q61">
        <f aca="true" t="shared" si="9" ref="Q61:Q67">F61</f>
        <v>9.03</v>
      </c>
    </row>
    <row r="62" spans="1:17" ht="12.75">
      <c r="A62" s="6">
        <f>_XLL.DIATRABALHOTOTAL($C$54,D62,Feriado!$A$1:$L$62)-1</f>
        <v>148</v>
      </c>
      <c r="B62">
        <f>G42*G43</f>
        <v>1.013025690589021</v>
      </c>
      <c r="C62" s="17">
        <f t="shared" si="8"/>
        <v>41579</v>
      </c>
      <c r="D62" s="17">
        <v>41606</v>
      </c>
      <c r="E62" s="168">
        <f>_XLL.DIATRABALHOTOTAL(C62,D62,Feriado!$A$1:$L$62)-1</f>
        <v>18</v>
      </c>
      <c r="F62">
        <f>F61</f>
        <v>9.03</v>
      </c>
      <c r="G62" s="20">
        <f>(1+F62/100)^(E62/252)</f>
        <v>1.0061943121600243</v>
      </c>
      <c r="K62" s="172"/>
      <c r="L62" s="291"/>
      <c r="P62">
        <v>6</v>
      </c>
      <c r="Q62">
        <f t="shared" si="9"/>
        <v>9.03</v>
      </c>
    </row>
    <row r="63" spans="1:17" ht="12.75">
      <c r="A63" s="6">
        <f>_XLL.DIATRABALHOTOTAL($C$54,D63,Feriado!$A$1:$L$62)-1</f>
        <v>172</v>
      </c>
      <c r="C63" s="169">
        <f t="shared" si="8"/>
        <v>41606</v>
      </c>
      <c r="D63" s="169">
        <v>41642</v>
      </c>
      <c r="E63" s="168">
        <f>_XLL.DIATRABALHOTOTAL(C63,D63,Feriado!$A$1:$L$62)-1</f>
        <v>24</v>
      </c>
      <c r="F63" s="170">
        <f>ROUND(((B62/G62)^(252/E63)-1)*100,2)</f>
        <v>7.36</v>
      </c>
      <c r="H63" s="171">
        <f>(F63-F62)*100</f>
        <v>-166.99999999999991</v>
      </c>
      <c r="K63" s="172">
        <f>H63-I63</f>
        <v>-166.99999999999991</v>
      </c>
      <c r="L63" s="291"/>
      <c r="P63">
        <v>6</v>
      </c>
      <c r="Q63">
        <f t="shared" si="9"/>
        <v>7.36</v>
      </c>
    </row>
    <row r="64" spans="1:17" ht="12.75">
      <c r="A64" s="6">
        <f>_XLL.DIATRABALHOTOTAL($C$54,D64,Feriado!$A$1:$L$62)-1</f>
        <v>186</v>
      </c>
      <c r="B64">
        <f>G44*G45</f>
        <v>1.0124678300241092</v>
      </c>
      <c r="C64" s="136">
        <f t="shared" si="8"/>
        <v>41642</v>
      </c>
      <c r="D64" s="16">
        <v>41662</v>
      </c>
      <c r="E64" s="6">
        <f>_XLL.DIATRABALHOTOTAL(C64,D64,Feriado!$A$1:$L$62)-1</f>
        <v>14</v>
      </c>
      <c r="F64">
        <f>F63</f>
        <v>7.36</v>
      </c>
      <c r="G64" s="20">
        <f>(1+F64/100)^(E64/252)</f>
        <v>1.0039532093570847</v>
      </c>
      <c r="K64" s="172"/>
      <c r="L64" s="291"/>
      <c r="P64">
        <v>7</v>
      </c>
      <c r="Q64">
        <f t="shared" si="9"/>
        <v>7.36</v>
      </c>
    </row>
    <row r="65" spans="1:17" ht="12.75">
      <c r="A65" s="6">
        <f>_XLL.DIATRABALHOTOTAL($C$54,D65,Feriado!$A$1:$L$62)-1</f>
        <v>212</v>
      </c>
      <c r="C65" s="136">
        <f t="shared" si="8"/>
        <v>41662</v>
      </c>
      <c r="D65" s="16">
        <v>41699</v>
      </c>
      <c r="E65" s="6">
        <f>_XLL.DIATRABALHOTOTAL(C65,D65,Feriado!$A$1:$L$62)-1</f>
        <v>26</v>
      </c>
      <c r="F65" s="170">
        <f>ROUND(((B64/G64)^(252/E65)-1)*100,2)</f>
        <v>8.53</v>
      </c>
      <c r="H65" s="171">
        <f>(F65-F64)*100</f>
        <v>116.9999999999999</v>
      </c>
      <c r="K65" s="172">
        <f>H65-I65</f>
        <v>116.9999999999999</v>
      </c>
      <c r="L65" s="291"/>
      <c r="P65">
        <v>7</v>
      </c>
      <c r="Q65">
        <f t="shared" si="9"/>
        <v>8.53</v>
      </c>
    </row>
    <row r="66" spans="1:17" ht="12.75">
      <c r="A66" s="6">
        <f>_XLL.DIATRABALHOTOTAL($C$54,D66,Feriado!$A$1:$L$62)-1</f>
        <v>219</v>
      </c>
      <c r="B66">
        <f>G46*G47</f>
        <v>1.0127015278599012</v>
      </c>
      <c r="C66" s="169">
        <f t="shared" si="8"/>
        <v>41699</v>
      </c>
      <c r="D66" s="17">
        <v>41711</v>
      </c>
      <c r="E66" s="168">
        <f>_XLL.DIATRABALHOTOTAL(C66,D66,Feriado!$A$1:$L$62)</f>
        <v>7</v>
      </c>
      <c r="F66">
        <f>F65</f>
        <v>8.53</v>
      </c>
      <c r="G66" s="20">
        <f>(1+F66/100)^(E66/252)</f>
        <v>1.002276377201018</v>
      </c>
      <c r="K66" s="172"/>
      <c r="L66" s="291"/>
      <c r="P66">
        <v>8</v>
      </c>
      <c r="Q66">
        <f t="shared" si="9"/>
        <v>8.53</v>
      </c>
    </row>
    <row r="67" spans="1:17" ht="12.75">
      <c r="A67" s="6">
        <f>_XLL.DIATRABALHOTOTAL($C$54,D67,Feriado!$A$1:$L$62)-1</f>
        <v>252</v>
      </c>
      <c r="C67" s="169">
        <f t="shared" si="8"/>
        <v>41711</v>
      </c>
      <c r="D67" s="17">
        <v>41761</v>
      </c>
      <c r="E67" s="168">
        <f>_XLL.DIATRABALHOTOTAL(C67,D67,Feriado!$A$1:$L$62)-1</f>
        <v>33</v>
      </c>
      <c r="F67" s="170">
        <f>ROUND(((B66/G66)^(252/E67)-1)*100,2)</f>
        <v>8.22</v>
      </c>
      <c r="H67" s="171">
        <f>(F67-F66)*100</f>
        <v>-30.999999999999872</v>
      </c>
      <c r="J67" s="43"/>
      <c r="K67" s="172">
        <f>H67-I67</f>
        <v>-30.999999999999872</v>
      </c>
      <c r="L67" s="291"/>
      <c r="P67">
        <v>8</v>
      </c>
      <c r="Q67">
        <f t="shared" si="9"/>
        <v>8.22</v>
      </c>
    </row>
    <row r="68" spans="3:10" ht="12.75">
      <c r="C68" s="136"/>
      <c r="J68" s="43"/>
    </row>
    <row r="69" spans="3:10" ht="12.75">
      <c r="C69" s="136"/>
      <c r="G69" s="46" t="s">
        <v>143</v>
      </c>
      <c r="H69" s="173">
        <f>SUM(H51:H67)</f>
        <v>111.70799456852559</v>
      </c>
      <c r="J69" s="44"/>
    </row>
    <row r="70" spans="3:10" ht="12.75">
      <c r="C70" s="136"/>
      <c r="J70" s="44"/>
    </row>
    <row r="71" ht="12.75">
      <c r="J71" s="43"/>
    </row>
    <row r="76" ht="12.75">
      <c r="J76" s="44"/>
    </row>
    <row r="77" ht="12.75">
      <c r="J77" s="44"/>
    </row>
    <row r="80" ht="12.75">
      <c r="J80" s="43"/>
    </row>
    <row r="81" ht="12.75">
      <c r="J81" s="44"/>
    </row>
    <row r="82" ht="12.75">
      <c r="J82" s="44"/>
    </row>
    <row r="85" ht="12.75">
      <c r="J85" s="43"/>
    </row>
  </sheetData>
  <sheetProtection/>
  <printOptions horizontalCentered="1"/>
  <pageMargins left="0.44" right="0.4724409448818898" top="0.7480314960629921" bottom="0.984251968503937" header="0.5118110236220472" footer="0.5118110236220472"/>
  <pageSetup fitToHeight="1" fitToWidth="1" horizontalDpi="600" verticalDpi="600" orientation="portrait" paperSize="9" scale="3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J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5.00390625" style="0" bestFit="1" customWidth="1"/>
    <col min="2" max="2" width="27.8515625" style="0" bestFit="1" customWidth="1"/>
    <col min="3" max="3" width="11.8515625" style="0" customWidth="1"/>
    <col min="4" max="4" width="27.8515625" style="0" customWidth="1"/>
    <col min="5" max="5" width="11.7109375" style="0" customWidth="1"/>
    <col min="6" max="6" width="25.8515625" style="0" bestFit="1" customWidth="1"/>
    <col min="7" max="7" width="27.140625" style="0" bestFit="1" customWidth="1"/>
    <col min="8" max="8" width="25.8515625" style="0" bestFit="1" customWidth="1"/>
    <col min="9" max="9" width="13.57421875" style="0" bestFit="1" customWidth="1"/>
    <col min="10" max="10" width="27.8515625" style="0" bestFit="1" customWidth="1"/>
    <col min="11" max="11" width="25.8515625" style="0" bestFit="1" customWidth="1"/>
  </cols>
  <sheetData>
    <row r="1" spans="1:4" ht="23.25">
      <c r="A1" s="339" t="s">
        <v>96</v>
      </c>
      <c r="B1" s="357" t="s">
        <v>16</v>
      </c>
      <c r="C1" s="357"/>
      <c r="D1" s="340">
        <v>100000</v>
      </c>
    </row>
    <row r="2" spans="1:4" ht="23.25">
      <c r="A2" s="339"/>
      <c r="B2" s="357" t="s">
        <v>192</v>
      </c>
      <c r="C2" s="357"/>
      <c r="D2" s="341">
        <v>41365</v>
      </c>
    </row>
    <row r="3" spans="2:10" ht="23.25">
      <c r="B3" s="130">
        <v>41183</v>
      </c>
      <c r="C3" s="130"/>
      <c r="D3" s="130" t="s">
        <v>191</v>
      </c>
      <c r="F3" s="130" t="s">
        <v>188</v>
      </c>
      <c r="H3" s="130">
        <v>41275</v>
      </c>
      <c r="J3" s="130"/>
    </row>
    <row r="4" spans="1:10" ht="23.25">
      <c r="A4" s="128" t="s">
        <v>98</v>
      </c>
      <c r="B4" s="148">
        <v>5</v>
      </c>
      <c r="C4" s="323"/>
      <c r="D4" s="148">
        <v>1</v>
      </c>
      <c r="F4" s="148">
        <v>1</v>
      </c>
      <c r="H4" s="148">
        <v>1</v>
      </c>
      <c r="J4" s="133"/>
    </row>
    <row r="5" spans="1:10" ht="23.25">
      <c r="A5" s="128" t="s">
        <v>99</v>
      </c>
      <c r="B5" s="145">
        <v>122</v>
      </c>
      <c r="C5" s="324">
        <f>B5-D5</f>
        <v>62</v>
      </c>
      <c r="D5" s="145">
        <v>60</v>
      </c>
      <c r="F5" s="145">
        <v>60</v>
      </c>
      <c r="H5" s="145">
        <v>60</v>
      </c>
      <c r="J5" s="133"/>
    </row>
    <row r="6" spans="1:10" ht="23.25">
      <c r="A6" s="128" t="s">
        <v>52</v>
      </c>
      <c r="B6" s="129">
        <v>7.26</v>
      </c>
      <c r="C6" s="325"/>
      <c r="D6" s="129">
        <v>7.05</v>
      </c>
      <c r="F6" s="129">
        <v>7.05</v>
      </c>
      <c r="H6" s="129">
        <v>7.05</v>
      </c>
      <c r="J6" s="133"/>
    </row>
    <row r="7" spans="1:10" ht="23.25">
      <c r="A7" s="128" t="s">
        <v>23</v>
      </c>
      <c r="B7" s="146">
        <f>B6+B4/100</f>
        <v>7.31</v>
      </c>
      <c r="C7" s="326"/>
      <c r="D7" s="146">
        <f>D6+D4/100</f>
        <v>7.06</v>
      </c>
      <c r="F7" s="338" t="s">
        <v>126</v>
      </c>
      <c r="H7" s="146">
        <f>H6+H4/100</f>
        <v>7.06</v>
      </c>
      <c r="J7" s="133"/>
    </row>
    <row r="8" spans="1:10" ht="23.25">
      <c r="A8" s="128" t="s">
        <v>24</v>
      </c>
      <c r="B8" s="147">
        <f>1000/(1+B7/100)^(B5/252)</f>
        <v>966.4207694936749</v>
      </c>
      <c r="C8" s="327"/>
      <c r="D8" s="147">
        <f>1000/(1+D7/100)^(D5/252)</f>
        <v>983.888525002062</v>
      </c>
      <c r="F8" s="338" t="s">
        <v>126</v>
      </c>
      <c r="H8" s="147">
        <f>1000/(1+H7/100)^(H5/252)</f>
        <v>983.888525002062</v>
      </c>
      <c r="J8" s="133"/>
    </row>
    <row r="9" spans="1:10" ht="23.25">
      <c r="A9" s="128" t="s">
        <v>174</v>
      </c>
      <c r="B9" s="298">
        <f>D1</f>
        <v>100000</v>
      </c>
      <c r="C9" s="322"/>
      <c r="D9" s="298">
        <f>D1</f>
        <v>100000</v>
      </c>
      <c r="F9" s="338" t="s">
        <v>126</v>
      </c>
      <c r="H9" s="298">
        <f>D1</f>
        <v>100000</v>
      </c>
      <c r="J9" s="133"/>
    </row>
    <row r="10" spans="1:10" ht="23.25">
      <c r="A10" s="131" t="s">
        <v>176</v>
      </c>
      <c r="B10" s="299">
        <f>B9*B8</f>
        <v>96642076.9493675</v>
      </c>
      <c r="C10" s="328"/>
      <c r="D10" s="299">
        <f>D9*D8</f>
        <v>98388852.5002062</v>
      </c>
      <c r="F10" s="338" t="s">
        <v>126</v>
      </c>
      <c r="H10" s="299">
        <f>H9*H8</f>
        <v>98388852.5002062</v>
      </c>
      <c r="J10" s="133"/>
    </row>
    <row r="12" spans="1:8" ht="23.25">
      <c r="A12" s="131" t="s">
        <v>117</v>
      </c>
      <c r="B12" s="321">
        <f>Plan8!Z231</f>
        <v>0.07016251130402429</v>
      </c>
      <c r="C12" s="329"/>
      <c r="D12" s="321">
        <f>Plan8!$Z$171</f>
        <v>0.07072495610687102</v>
      </c>
      <c r="F12" s="321">
        <f>Plan8!$Z$230</f>
        <v>0.0695816287244071</v>
      </c>
      <c r="H12" s="321">
        <f>Plan8!$Z$230</f>
        <v>0.0695816287244071</v>
      </c>
    </row>
    <row r="13" spans="1:8" ht="23.25">
      <c r="A13" s="131" t="s">
        <v>189</v>
      </c>
      <c r="B13" s="147">
        <f>(1+B12)^(B5/252)</f>
        <v>1.033373714827699</v>
      </c>
      <c r="C13" s="327"/>
      <c r="D13" s="147">
        <f>(1+D12)^((C5)/252)</f>
        <v>1.0169549433906284</v>
      </c>
      <c r="F13" s="147">
        <f>(1+F12)^(F5/252)</f>
        <v>1.0161450333112387</v>
      </c>
      <c r="H13" s="147">
        <f>(1+H12)^(H5/252)</f>
        <v>1.0161450333112387</v>
      </c>
    </row>
    <row r="14" spans="1:8" ht="23.25">
      <c r="A14" s="131" t="s">
        <v>183</v>
      </c>
      <c r="B14" s="299">
        <f>B10*B13</f>
        <v>99867382.06583221</v>
      </c>
      <c r="C14" s="328"/>
      <c r="D14" s="299">
        <f>B10*D13</f>
        <v>98280637.89319678</v>
      </c>
      <c r="F14" s="299">
        <f>D14</f>
        <v>98280637.89319678</v>
      </c>
      <c r="H14" s="299">
        <f>H10*H13</f>
        <v>99977343.80127658</v>
      </c>
    </row>
    <row r="15" spans="1:8" ht="23.25">
      <c r="A15" s="131" t="s">
        <v>182</v>
      </c>
      <c r="B15" s="299">
        <f>1000*D1-B14</f>
        <v>132617.93416778743</v>
      </c>
      <c r="C15" s="328"/>
      <c r="D15" s="299">
        <f>D10-D14</f>
        <v>108214.60700942576</v>
      </c>
      <c r="F15" s="336" t="s">
        <v>126</v>
      </c>
      <c r="H15" s="299">
        <f>1000*D1-H14</f>
        <v>22656.1987234205</v>
      </c>
    </row>
    <row r="16" spans="1:8" ht="23.25">
      <c r="A16" s="131"/>
      <c r="B16" s="321">
        <f>(D1*1000/B10)^(252/B5)-1</f>
        <v>0.07310000000000016</v>
      </c>
      <c r="C16" s="329"/>
      <c r="D16" s="321">
        <f>(D10/B10)^(252/(C5))-1</f>
        <v>0.07552491310803267</v>
      </c>
      <c r="F16" s="337" t="s">
        <v>126</v>
      </c>
      <c r="H16" s="321">
        <f>(1000*D1/H10)^(252/H5)-1</f>
        <v>0.07059999999999955</v>
      </c>
    </row>
    <row r="18" spans="1:8" ht="23.25">
      <c r="A18" s="131" t="s">
        <v>177</v>
      </c>
      <c r="B18" s="147">
        <f>100000/(1+B6/100)^(B5/252)</f>
        <v>96663.88443256517</v>
      </c>
      <c r="C18" s="327"/>
      <c r="D18" s="147">
        <f>100000/(1+D6/100)^(D5/252)</f>
        <v>98391.04073782073</v>
      </c>
      <c r="F18" s="147">
        <f>100000/(1+F6/100)^(F5/252)</f>
        <v>98391.04073782073</v>
      </c>
      <c r="H18" s="147">
        <f>100000/(1+H6/100)^(H5/252)</f>
        <v>98391.04073782073</v>
      </c>
    </row>
    <row r="19" spans="1:10" ht="23.25">
      <c r="A19" s="131" t="s">
        <v>178</v>
      </c>
      <c r="B19" s="302">
        <f>B10/B18</f>
        <v>999.7743988530391</v>
      </c>
      <c r="C19" s="330"/>
      <c r="D19" s="301">
        <f>B19</f>
        <v>999.7743988530391</v>
      </c>
      <c r="F19" s="302">
        <f>F14/F18</f>
        <v>998.8779177067744</v>
      </c>
      <c r="H19" s="301">
        <f>H10/H18</f>
        <v>999.9777597879022</v>
      </c>
      <c r="I19" s="133"/>
      <c r="J19" s="133"/>
    </row>
    <row r="20" spans="1:9" ht="23.25">
      <c r="A20" s="131" t="s">
        <v>193</v>
      </c>
      <c r="I20" s="133"/>
    </row>
    <row r="21" spans="1:8" ht="23.25">
      <c r="A21" s="121" t="s">
        <v>26</v>
      </c>
      <c r="B21" s="299">
        <v>100000</v>
      </c>
      <c r="C21" s="328"/>
      <c r="D21" s="299">
        <f>D18</f>
        <v>98391.04073782073</v>
      </c>
      <c r="F21" s="299">
        <f>100000</f>
        <v>100000</v>
      </c>
      <c r="H21" s="299">
        <f>100000</f>
        <v>100000</v>
      </c>
    </row>
    <row r="22" spans="1:9" ht="23.25">
      <c r="A22" s="121" t="s">
        <v>190</v>
      </c>
      <c r="B22" s="299">
        <f>B18*B13</f>
        <v>99889.91734575525</v>
      </c>
      <c r="C22" s="328"/>
      <c r="D22" s="299">
        <f>B18*D13</f>
        <v>98302.81512103757</v>
      </c>
      <c r="F22" s="299">
        <f>F18*F13</f>
        <v>99979.56736806029</v>
      </c>
      <c r="H22" s="299">
        <f>H18*H13</f>
        <v>99979.56736806029</v>
      </c>
      <c r="I22" s="133"/>
    </row>
    <row r="23" spans="1:8" ht="23.25">
      <c r="A23" s="121"/>
      <c r="B23" s="300">
        <f>(B22-B21)*B19</f>
        <v>-110057.81947168855</v>
      </c>
      <c r="C23" s="331"/>
      <c r="D23" s="300">
        <f>(D22-D21)*D19</f>
        <v>-88205.71298282799</v>
      </c>
      <c r="F23" s="300">
        <f>(F22-F21)*F19</f>
        <v>-20409.704845204247</v>
      </c>
      <c r="H23" s="300">
        <f>(H22-H21)*H19</f>
        <v>-20432.177513639734</v>
      </c>
    </row>
    <row r="25" ht="13.5" thickBot="1">
      <c r="I25" s="133"/>
    </row>
    <row r="26" spans="1:9" ht="13.5" thickBot="1">
      <c r="A26" s="315" t="s">
        <v>185</v>
      </c>
      <c r="B26" s="316">
        <f>B15+B23</f>
        <v>22560.114696098884</v>
      </c>
      <c r="C26" s="332"/>
      <c r="D26" s="334">
        <f>D15+D23</f>
        <v>20008.894026597773</v>
      </c>
      <c r="H26" s="316">
        <f>H15+H23</f>
        <v>2224.021209780767</v>
      </c>
      <c r="I26" s="133"/>
    </row>
    <row r="27" spans="1:6" ht="13.5" thickBot="1">
      <c r="A27" s="317" t="s">
        <v>186</v>
      </c>
      <c r="B27" s="318"/>
      <c r="F27" s="318">
        <f>B15+F23</f>
        <v>112208.22932258318</v>
      </c>
    </row>
    <row r="28" spans="1:8" ht="13.5" thickBot="1">
      <c r="A28" s="319" t="s">
        <v>187</v>
      </c>
      <c r="B28" s="320">
        <f>B15</f>
        <v>132617.93416778743</v>
      </c>
      <c r="C28" s="333"/>
      <c r="D28" s="335">
        <f>D15</f>
        <v>108214.60700942576</v>
      </c>
      <c r="H28" s="320">
        <f>H15</f>
        <v>22656.1987234205</v>
      </c>
    </row>
    <row r="30" spans="2:5" ht="12.75">
      <c r="B30" s="314"/>
      <c r="C30" s="314"/>
      <c r="D30" s="314"/>
      <c r="E30" s="7"/>
    </row>
    <row r="31" spans="2:8" ht="12.75">
      <c r="B31" s="314">
        <f>B14+B26</f>
        <v>99889942.18052831</v>
      </c>
      <c r="D31" s="314">
        <f>D14+D26</f>
        <v>98300646.78722337</v>
      </c>
      <c r="H31" s="314">
        <f>H14+H26</f>
        <v>99979567.82248636</v>
      </c>
    </row>
    <row r="32" spans="2:8" ht="12.75">
      <c r="B32">
        <f>B31/B10</f>
        <v>1.0336071547061476</v>
      </c>
      <c r="D32">
        <f>D31/B10</f>
        <v>1.0171619846159228</v>
      </c>
      <c r="H32">
        <f>H31/H10</f>
        <v>1.0161676377136</v>
      </c>
    </row>
    <row r="33" spans="2:8" ht="15">
      <c r="B33" s="342">
        <f>B32^(252/122)-1</f>
        <v>0.07066192488541678</v>
      </c>
      <c r="D33" s="342">
        <f>D32^(252/62)-1</f>
        <v>0.07161124921164119</v>
      </c>
      <c r="H33" s="342">
        <f>H32^(252/60)-1</f>
        <v>0.06968156335540554</v>
      </c>
    </row>
  </sheetData>
  <sheetProtection/>
  <mergeCells count="2">
    <mergeCell ref="B1:C1"/>
    <mergeCell ref="B2:C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H31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25.00390625" style="0" bestFit="1" customWidth="1"/>
    <col min="2" max="4" width="27.8515625" style="0" bestFit="1" customWidth="1"/>
    <col min="5" max="5" width="23.00390625" style="0" bestFit="1" customWidth="1"/>
    <col min="6" max="6" width="18.7109375" style="0" bestFit="1" customWidth="1"/>
    <col min="7" max="7" width="5.421875" style="0" customWidth="1"/>
    <col min="8" max="8" width="13.57421875" style="0" bestFit="1" customWidth="1"/>
    <col min="9" max="10" width="25.8515625" style="0" bestFit="1" customWidth="1"/>
  </cols>
  <sheetData>
    <row r="1" spans="1:4" ht="23.25">
      <c r="A1" s="358" t="s">
        <v>97</v>
      </c>
      <c r="B1" s="358"/>
      <c r="C1" s="358"/>
      <c r="D1" s="358"/>
    </row>
    <row r="2" spans="2:5" ht="23.25">
      <c r="B2" s="130">
        <v>41183</v>
      </c>
      <c r="C2" s="130">
        <v>41275</v>
      </c>
      <c r="D2" s="130">
        <v>41409</v>
      </c>
      <c r="E2" s="130"/>
    </row>
    <row r="3" spans="1:5" ht="23.25">
      <c r="A3" s="128" t="s">
        <v>98</v>
      </c>
      <c r="B3" s="148"/>
      <c r="C3" s="148"/>
      <c r="D3" s="133" t="s">
        <v>181</v>
      </c>
      <c r="E3" s="293"/>
    </row>
    <row r="4" spans="1:5" ht="23.25">
      <c r="A4" s="128" t="s">
        <v>99</v>
      </c>
      <c r="B4" s="145">
        <v>153</v>
      </c>
      <c r="C4" s="145">
        <v>91</v>
      </c>
      <c r="D4" s="133" t="s">
        <v>181</v>
      </c>
      <c r="E4" s="130"/>
    </row>
    <row r="5" spans="1:5" ht="23.25">
      <c r="A5" s="128" t="s">
        <v>52</v>
      </c>
      <c r="B5" s="129">
        <v>7.26</v>
      </c>
      <c r="C5" s="129">
        <v>7.05</v>
      </c>
      <c r="D5" s="133" t="s">
        <v>181</v>
      </c>
      <c r="E5" s="130"/>
    </row>
    <row r="6" spans="1:5" ht="23.25">
      <c r="A6" s="128" t="s">
        <v>23</v>
      </c>
      <c r="B6" s="146">
        <v>0.94</v>
      </c>
      <c r="C6" s="146">
        <v>-0.06</v>
      </c>
      <c r="D6" s="133" t="s">
        <v>181</v>
      </c>
      <c r="E6" s="313"/>
    </row>
    <row r="7" spans="1:4" ht="24" thickBot="1">
      <c r="A7" s="128" t="s">
        <v>24</v>
      </c>
      <c r="B7" s="147">
        <v>2297.500987</v>
      </c>
      <c r="C7" s="147">
        <f>2288.472518+64.23</f>
        <v>2352.702518</v>
      </c>
      <c r="D7" s="147">
        <f>2353.932866+64.23*(D9/C9)</f>
        <v>2419.2019722530235</v>
      </c>
    </row>
    <row r="8" spans="1:8" ht="23.25">
      <c r="A8" s="128" t="s">
        <v>174</v>
      </c>
      <c r="B8" s="298">
        <v>10000</v>
      </c>
      <c r="C8" s="298">
        <v>10000</v>
      </c>
      <c r="D8" s="298">
        <v>10000</v>
      </c>
      <c r="F8" s="304" t="s">
        <v>130</v>
      </c>
      <c r="G8" s="305"/>
      <c r="H8" s="306" t="s">
        <v>117</v>
      </c>
    </row>
    <row r="9" spans="1:8" ht="23.25">
      <c r="A9" s="128" t="s">
        <v>175</v>
      </c>
      <c r="B9" s="303" t="s">
        <v>181</v>
      </c>
      <c r="C9" s="147">
        <f>(1+F9)^(C4/252)</f>
        <v>1.0262183857933282</v>
      </c>
      <c r="D9" s="147">
        <f>(1+H9)^(B4/252)</f>
        <v>1.0428204399992334</v>
      </c>
      <c r="F9" s="307">
        <v>0.0743</v>
      </c>
      <c r="G9" s="308"/>
      <c r="H9" s="309">
        <v>0.0715</v>
      </c>
    </row>
    <row r="10" spans="1:8" ht="24" thickBot="1">
      <c r="A10" s="131" t="s">
        <v>115</v>
      </c>
      <c r="B10" s="303" t="s">
        <v>181</v>
      </c>
      <c r="C10" s="147">
        <f>(1+F10)^(C4/252)</f>
        <v>1.025838817558434</v>
      </c>
      <c r="D10" s="147">
        <f>(1+H10)^(B4/252)</f>
        <v>1.0424658656788948</v>
      </c>
      <c r="F10" s="310">
        <v>0.0732</v>
      </c>
      <c r="G10" s="311"/>
      <c r="H10" s="312">
        <v>0.0709</v>
      </c>
    </row>
    <row r="12" spans="1:8" ht="23.25">
      <c r="A12" s="131" t="s">
        <v>176</v>
      </c>
      <c r="B12" s="299">
        <f>B8*B7</f>
        <v>22975009.869999997</v>
      </c>
      <c r="C12" s="299">
        <f>C8*C7</f>
        <v>23527025.18</v>
      </c>
      <c r="D12" s="299">
        <f>D8*D7</f>
        <v>24192019.722530235</v>
      </c>
      <c r="E12" s="1"/>
      <c r="H12" s="257"/>
    </row>
    <row r="14" spans="1:4" ht="23.25">
      <c r="A14" s="131" t="s">
        <v>177</v>
      </c>
      <c r="B14" s="147">
        <v>96663.88</v>
      </c>
      <c r="C14" s="147">
        <v>98391.04</v>
      </c>
      <c r="D14" s="299">
        <v>100000</v>
      </c>
    </row>
    <row r="16" spans="1:4" ht="23.25">
      <c r="A16" s="131" t="s">
        <v>178</v>
      </c>
      <c r="B16" s="302">
        <f>B12/B14</f>
        <v>237.67936761901132</v>
      </c>
      <c r="C16" s="301">
        <f>C12/C14</f>
        <v>239.11755765565647</v>
      </c>
      <c r="D16" s="133" t="s">
        <v>181</v>
      </c>
    </row>
    <row r="18" spans="1:4" ht="23.25">
      <c r="A18" s="131" t="s">
        <v>183</v>
      </c>
      <c r="B18" s="133" t="s">
        <v>130</v>
      </c>
      <c r="C18" s="299">
        <f>B12*C9</f>
        <v>23577377.54237718</v>
      </c>
      <c r="D18" s="299">
        <f>B12*D9</f>
        <v>23958809.901620127</v>
      </c>
    </row>
    <row r="19" spans="2:4" ht="23.25">
      <c r="B19" s="133" t="s">
        <v>117</v>
      </c>
      <c r="C19" s="299">
        <f>B12*C10</f>
        <v>23568656.95843415</v>
      </c>
      <c r="D19" s="299">
        <f>B12*D10</f>
        <v>23950663.5531107</v>
      </c>
    </row>
    <row r="22" spans="1:4" ht="23.25">
      <c r="A22" s="131" t="s">
        <v>182</v>
      </c>
      <c r="B22" s="133" t="s">
        <v>130</v>
      </c>
      <c r="C22" s="299">
        <f>C12-C18</f>
        <v>-50352.36237718165</v>
      </c>
      <c r="D22" s="299">
        <f>D12-D18</f>
        <v>233209.82091010734</v>
      </c>
    </row>
    <row r="23" spans="2:4" ht="23.25">
      <c r="B23" s="133" t="s">
        <v>117</v>
      </c>
      <c r="C23" s="299">
        <f>C12-C19</f>
        <v>-41631.77843414992</v>
      </c>
      <c r="D23" s="299">
        <f>D12-D19</f>
        <v>241356.1694195345</v>
      </c>
    </row>
    <row r="25" spans="2:3" ht="12.75">
      <c r="B25" s="133" t="s">
        <v>179</v>
      </c>
      <c r="C25" s="133" t="s">
        <v>180</v>
      </c>
    </row>
    <row r="27" spans="1:3" ht="23.25">
      <c r="A27" s="121" t="s">
        <v>184</v>
      </c>
      <c r="B27" s="299">
        <f>D19</f>
        <v>23950663.5531107</v>
      </c>
      <c r="C27" s="299">
        <f>C19</f>
        <v>23568656.95843415</v>
      </c>
    </row>
    <row r="30" spans="1:3" ht="23.25">
      <c r="A30" s="121" t="s">
        <v>52</v>
      </c>
      <c r="B30" s="299">
        <f>B16*100000</f>
        <v>23767936.761901133</v>
      </c>
      <c r="C30" s="299">
        <f>C16*100000</f>
        <v>23911755.76556565</v>
      </c>
    </row>
    <row r="31" spans="2:3" ht="23.25">
      <c r="B31" s="300">
        <f>B27-B30</f>
        <v>182726.79120956734</v>
      </c>
      <c r="C31" s="300">
        <f>C27-C30</f>
        <v>-343098.80713149905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D7"/>
  <sheetViews>
    <sheetView zoomScalePageLayoutView="0" workbookViewId="0" topLeftCell="A1">
      <selection activeCell="B3" sqref="B3:D7"/>
    </sheetView>
  </sheetViews>
  <sheetFormatPr defaultColWidth="9.140625" defaultRowHeight="12.75"/>
  <cols>
    <col min="1" max="1" width="17.7109375" style="0" customWidth="1"/>
    <col min="2" max="4" width="22.421875" style="0" customWidth="1"/>
  </cols>
  <sheetData>
    <row r="1" spans="1:4" ht="23.25">
      <c r="A1" s="358" t="s">
        <v>100</v>
      </c>
      <c r="B1" s="358"/>
      <c r="C1" s="358"/>
      <c r="D1" s="358"/>
    </row>
    <row r="2" spans="1:4" ht="23.25">
      <c r="A2" s="132">
        <v>40478</v>
      </c>
      <c r="B2" s="130">
        <v>40975</v>
      </c>
      <c r="C2" s="130">
        <v>41705</v>
      </c>
      <c r="D2" s="130">
        <v>42070</v>
      </c>
    </row>
    <row r="3" spans="1:4" ht="23.25">
      <c r="A3" s="128" t="s">
        <v>137</v>
      </c>
      <c r="B3" s="148"/>
      <c r="C3" s="148"/>
      <c r="D3" s="148"/>
    </row>
    <row r="4" spans="1:4" ht="23.25">
      <c r="A4" s="128" t="s">
        <v>99</v>
      </c>
      <c r="B4" s="145"/>
      <c r="C4" s="145"/>
      <c r="D4" s="145"/>
    </row>
    <row r="5" spans="1:4" ht="23.25">
      <c r="A5" s="128" t="s">
        <v>101</v>
      </c>
      <c r="B5" s="150"/>
      <c r="C5" s="150"/>
      <c r="D5" s="150"/>
    </row>
    <row r="6" spans="1:4" ht="23.25">
      <c r="A6" s="128" t="s">
        <v>85</v>
      </c>
      <c r="B6" s="149"/>
      <c r="C6" s="149"/>
      <c r="D6" s="149"/>
    </row>
    <row r="7" spans="1:4" ht="23.25">
      <c r="A7" s="128" t="s">
        <v>24</v>
      </c>
      <c r="B7" s="150"/>
      <c r="C7" s="150"/>
      <c r="D7" s="15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:D9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17.7109375" style="0" customWidth="1"/>
    <col min="2" max="4" width="24.8515625" style="0" bestFit="1" customWidth="1"/>
  </cols>
  <sheetData>
    <row r="1" spans="1:4" ht="23.25">
      <c r="A1" s="358" t="s">
        <v>100</v>
      </c>
      <c r="B1" s="358"/>
      <c r="C1" s="358"/>
      <c r="D1" s="358"/>
    </row>
    <row r="2" spans="1:4" ht="23.25">
      <c r="A2" s="132">
        <v>40478</v>
      </c>
      <c r="B2" s="130">
        <v>41159</v>
      </c>
      <c r="C2" s="130">
        <v>42254</v>
      </c>
      <c r="D2" s="130">
        <v>42620</v>
      </c>
    </row>
    <row r="3" spans="1:4" ht="23.25">
      <c r="A3" s="128" t="s">
        <v>24</v>
      </c>
      <c r="B3" s="163"/>
      <c r="C3" s="163"/>
      <c r="D3" s="163"/>
    </row>
    <row r="4" spans="1:4" ht="23.25">
      <c r="A4" s="128" t="s">
        <v>99</v>
      </c>
      <c r="B4" s="145"/>
      <c r="C4" s="145"/>
      <c r="D4" s="145"/>
    </row>
    <row r="5" spans="1:4" ht="23.25">
      <c r="A5" s="128" t="s">
        <v>101</v>
      </c>
      <c r="B5" s="150"/>
      <c r="C5" s="150"/>
      <c r="D5" s="150"/>
    </row>
    <row r="6" spans="1:4" ht="23.25">
      <c r="A6" s="128" t="s">
        <v>85</v>
      </c>
      <c r="B6" s="129"/>
      <c r="C6" s="129"/>
      <c r="D6" s="129"/>
    </row>
    <row r="7" spans="1:4" ht="23.25">
      <c r="A7" s="128" t="s">
        <v>102</v>
      </c>
      <c r="B7" s="162"/>
      <c r="C7" s="162"/>
      <c r="D7" s="162"/>
    </row>
    <row r="9" spans="2:3" ht="12.75">
      <c r="B9" s="234"/>
      <c r="C9" s="234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K1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8.57421875" style="0" bestFit="1" customWidth="1"/>
    <col min="2" max="2" width="21.8515625" style="0" customWidth="1"/>
    <col min="3" max="4" width="3.8515625" style="0" customWidth="1"/>
    <col min="5" max="6" width="15.421875" style="0" bestFit="1" customWidth="1"/>
    <col min="7" max="7" width="12.140625" style="0" bestFit="1" customWidth="1"/>
    <col min="8" max="9" width="19.57421875" style="0" bestFit="1" customWidth="1"/>
    <col min="11" max="11" width="23.140625" style="0" bestFit="1" customWidth="1"/>
  </cols>
  <sheetData>
    <row r="1" spans="1:9" ht="20.25">
      <c r="A1" s="359" t="s">
        <v>54</v>
      </c>
      <c r="B1" s="359"/>
      <c r="E1" s="359" t="s">
        <v>107</v>
      </c>
      <c r="F1" s="359"/>
      <c r="G1" s="359"/>
      <c r="H1" s="359"/>
      <c r="I1" s="359"/>
    </row>
    <row r="2" spans="1:9" ht="20.25">
      <c r="A2" s="135"/>
      <c r="B2" s="135"/>
      <c r="E2" s="250" t="s">
        <v>108</v>
      </c>
      <c r="F2" s="250" t="s">
        <v>109</v>
      </c>
      <c r="G2" s="250" t="s">
        <v>56</v>
      </c>
      <c r="H2" s="250" t="s">
        <v>110</v>
      </c>
      <c r="I2" s="250" t="s">
        <v>111</v>
      </c>
    </row>
    <row r="3" spans="1:11" ht="21.75" customHeight="1">
      <c r="A3" s="135" t="s">
        <v>103</v>
      </c>
      <c r="B3" s="127">
        <v>40478</v>
      </c>
      <c r="E3" s="251">
        <v>40544</v>
      </c>
      <c r="F3" s="252">
        <v>40546</v>
      </c>
      <c r="G3" s="154"/>
      <c r="H3" s="253"/>
      <c r="I3" s="253"/>
      <c r="K3" s="186">
        <f>I3*G3</f>
        <v>0</v>
      </c>
    </row>
    <row r="4" spans="1:11" ht="21.75" customHeight="1">
      <c r="A4" s="135" t="s">
        <v>104</v>
      </c>
      <c r="B4" s="135">
        <v>10</v>
      </c>
      <c r="E4" s="251">
        <v>40725</v>
      </c>
      <c r="F4" s="254">
        <v>40725</v>
      </c>
      <c r="G4" s="154"/>
      <c r="H4" s="253"/>
      <c r="I4" s="253"/>
      <c r="K4" s="186">
        <f aca="true" t="shared" si="0" ref="K4:K9">I4*G4</f>
        <v>0</v>
      </c>
    </row>
    <row r="5" spans="1:11" ht="21.75" customHeight="1">
      <c r="A5" s="135" t="s">
        <v>105</v>
      </c>
      <c r="B5" s="259"/>
      <c r="E5" s="251">
        <v>40909</v>
      </c>
      <c r="F5" s="254">
        <v>40910</v>
      </c>
      <c r="G5" s="154"/>
      <c r="H5" s="253"/>
      <c r="I5" s="253"/>
      <c r="K5" s="186">
        <f t="shared" si="0"/>
        <v>0</v>
      </c>
    </row>
    <row r="6" spans="1:11" ht="21.75" customHeight="1">
      <c r="A6" s="135" t="s">
        <v>106</v>
      </c>
      <c r="B6" s="135"/>
      <c r="E6" s="251">
        <v>41091</v>
      </c>
      <c r="F6" s="254">
        <v>41092</v>
      </c>
      <c r="G6" s="154"/>
      <c r="H6" s="253"/>
      <c r="I6" s="253"/>
      <c r="K6" s="186">
        <f t="shared" si="0"/>
        <v>0</v>
      </c>
    </row>
    <row r="7" spans="1:11" ht="21.75" customHeight="1">
      <c r="A7" s="135" t="s">
        <v>98</v>
      </c>
      <c r="B7" s="164"/>
      <c r="E7" s="251">
        <v>41275</v>
      </c>
      <c r="F7" s="254">
        <v>41276</v>
      </c>
      <c r="G7" s="154"/>
      <c r="H7" s="253"/>
      <c r="I7" s="253"/>
      <c r="K7" s="186">
        <f t="shared" si="0"/>
        <v>0</v>
      </c>
    </row>
    <row r="8" spans="1:11" ht="21.75" customHeight="1">
      <c r="A8" s="135" t="s">
        <v>131</v>
      </c>
      <c r="B8" s="152"/>
      <c r="E8" s="251">
        <v>41456</v>
      </c>
      <c r="F8" s="254">
        <v>41456</v>
      </c>
      <c r="G8" s="154"/>
      <c r="H8" s="253"/>
      <c r="I8" s="253"/>
      <c r="K8" s="186">
        <f t="shared" si="0"/>
        <v>0</v>
      </c>
    </row>
    <row r="9" spans="1:11" ht="21.75" customHeight="1">
      <c r="A9" s="135" t="s">
        <v>102</v>
      </c>
      <c r="B9" s="188"/>
      <c r="E9" s="251">
        <v>41640</v>
      </c>
      <c r="F9" s="255">
        <v>41641</v>
      </c>
      <c r="G9" s="154"/>
      <c r="H9" s="253"/>
      <c r="I9" s="253"/>
      <c r="K9" s="186">
        <f t="shared" si="0"/>
        <v>0</v>
      </c>
    </row>
    <row r="10" spans="1:11" ht="21.75" customHeight="1">
      <c r="A10" s="135" t="s">
        <v>112</v>
      </c>
      <c r="B10" s="127">
        <v>41640</v>
      </c>
      <c r="E10" s="256"/>
      <c r="F10" s="257"/>
      <c r="G10" s="257"/>
      <c r="H10" s="250" t="s">
        <v>24</v>
      </c>
      <c r="I10" s="258"/>
      <c r="K10" s="189">
        <f>SUM(K3:K9)</f>
        <v>0</v>
      </c>
    </row>
  </sheetData>
  <sheetProtection/>
  <mergeCells count="2">
    <mergeCell ref="A1:B1"/>
    <mergeCell ref="E1:I1"/>
  </mergeCells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K2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0.28125" style="0" bestFit="1" customWidth="1"/>
    <col min="2" max="2" width="19.57421875" style="0" bestFit="1" customWidth="1"/>
    <col min="3" max="3" width="10.140625" style="0" bestFit="1" customWidth="1"/>
    <col min="4" max="4" width="10.140625" style="0" hidden="1" customWidth="1"/>
    <col min="5" max="6" width="0" style="0" hidden="1" customWidth="1"/>
    <col min="7" max="8" width="16.8515625" style="0" bestFit="1" customWidth="1"/>
    <col min="9" max="9" width="17.8515625" style="0" bestFit="1" customWidth="1"/>
    <col min="10" max="10" width="19.28125" style="0" customWidth="1"/>
    <col min="11" max="11" width="18.421875" style="0" customWidth="1"/>
  </cols>
  <sheetData>
    <row r="1" spans="1:11" ht="20.25">
      <c r="A1" s="359" t="s">
        <v>97</v>
      </c>
      <c r="B1" s="359"/>
      <c r="G1" s="359" t="s">
        <v>107</v>
      </c>
      <c r="H1" s="359"/>
      <c r="I1" s="359"/>
      <c r="J1" s="359"/>
      <c r="K1" s="359"/>
    </row>
    <row r="2" spans="1:11" ht="20.25">
      <c r="A2" s="135"/>
      <c r="B2" s="135"/>
      <c r="G2" s="46" t="s">
        <v>108</v>
      </c>
      <c r="H2" s="46" t="s">
        <v>109</v>
      </c>
      <c r="I2" s="46" t="s">
        <v>56</v>
      </c>
      <c r="J2" s="46" t="s">
        <v>110</v>
      </c>
      <c r="K2" s="46" t="s">
        <v>111</v>
      </c>
    </row>
    <row r="3" spans="1:11" ht="21.75" customHeight="1">
      <c r="A3" s="135" t="s">
        <v>103</v>
      </c>
      <c r="B3" s="127">
        <v>40478</v>
      </c>
      <c r="G3" s="260">
        <v>40589</v>
      </c>
      <c r="H3" s="261">
        <v>40589</v>
      </c>
      <c r="I3" s="154"/>
      <c r="J3" s="155"/>
      <c r="K3" s="153"/>
    </row>
    <row r="4" spans="1:11" ht="21.75" customHeight="1">
      <c r="A4" s="135" t="s">
        <v>104</v>
      </c>
      <c r="B4" s="135">
        <v>6</v>
      </c>
      <c r="G4" s="260">
        <v>40770</v>
      </c>
      <c r="H4" s="261">
        <v>40770</v>
      </c>
      <c r="I4" s="154"/>
      <c r="J4" s="155"/>
      <c r="K4" s="153"/>
    </row>
    <row r="5" spans="1:11" ht="21.75" customHeight="1">
      <c r="A5" s="135" t="s">
        <v>105</v>
      </c>
      <c r="B5" s="187"/>
      <c r="G5" s="260">
        <v>40954</v>
      </c>
      <c r="H5" s="261">
        <v>40954</v>
      </c>
      <c r="I5" s="154"/>
      <c r="J5" s="155"/>
      <c r="K5" s="153"/>
    </row>
    <row r="6" spans="1:11" ht="21.75" customHeight="1">
      <c r="A6" s="135" t="s">
        <v>113</v>
      </c>
      <c r="B6" s="135"/>
      <c r="G6" s="260">
        <v>41136</v>
      </c>
      <c r="H6" s="261">
        <v>41136</v>
      </c>
      <c r="I6" s="154"/>
      <c r="J6" s="155"/>
      <c r="K6" s="153"/>
    </row>
    <row r="7" spans="1:11" ht="21.75" customHeight="1">
      <c r="A7" s="135" t="s">
        <v>85</v>
      </c>
      <c r="B7" s="151"/>
      <c r="G7" s="260">
        <v>41320</v>
      </c>
      <c r="H7" s="261">
        <v>41320</v>
      </c>
      <c r="I7" s="154"/>
      <c r="J7" s="155"/>
      <c r="K7" s="153"/>
    </row>
    <row r="8" spans="1:11" ht="21.75" customHeight="1">
      <c r="A8" s="135" t="s">
        <v>102</v>
      </c>
      <c r="B8" s="152"/>
      <c r="G8" s="260">
        <v>41501</v>
      </c>
      <c r="H8" s="261">
        <v>41501</v>
      </c>
      <c r="I8" s="154"/>
      <c r="J8" s="155"/>
      <c r="K8" s="153"/>
    </row>
    <row r="9" spans="1:11" ht="21.75" customHeight="1">
      <c r="A9" s="135" t="s">
        <v>112</v>
      </c>
      <c r="B9" s="127">
        <v>41866</v>
      </c>
      <c r="G9" s="260">
        <v>41685</v>
      </c>
      <c r="H9" s="261">
        <v>41687</v>
      </c>
      <c r="I9" s="154"/>
      <c r="J9" s="155"/>
      <c r="K9" s="153"/>
    </row>
    <row r="10" spans="7:11" ht="21.75" customHeight="1">
      <c r="G10" s="260">
        <v>41866</v>
      </c>
      <c r="H10" s="261">
        <v>41866</v>
      </c>
      <c r="I10" s="154"/>
      <c r="J10" s="155"/>
      <c r="K10" s="153"/>
    </row>
    <row r="11" spans="1:11" ht="20.25">
      <c r="A11" s="135" t="s">
        <v>138</v>
      </c>
      <c r="B11" s="165">
        <v>1936.238867</v>
      </c>
      <c r="J11" s="137" t="s">
        <v>114</v>
      </c>
      <c r="K11" s="156"/>
    </row>
    <row r="12" spans="1:11" ht="20.25">
      <c r="A12" s="157" t="s">
        <v>135</v>
      </c>
      <c r="B12" s="158">
        <v>0.38</v>
      </c>
      <c r="C12" s="167" t="s">
        <v>139</v>
      </c>
      <c r="D12" s="167" t="s">
        <v>140</v>
      </c>
      <c r="J12" s="137" t="s">
        <v>24</v>
      </c>
      <c r="K12" s="156"/>
    </row>
    <row r="13" spans="1:4" ht="15">
      <c r="A13" s="157" t="s">
        <v>132</v>
      </c>
      <c r="B13" s="159">
        <f>_XLL.DIATRABALHOTOTAL($C$13,D13,Feriado!$A$1:$L$62)-1</f>
        <v>20</v>
      </c>
      <c r="C13" s="166">
        <v>40466</v>
      </c>
      <c r="D13" s="166">
        <v>40498</v>
      </c>
    </row>
    <row r="14" spans="1:4" ht="15">
      <c r="A14" s="157" t="s">
        <v>133</v>
      </c>
      <c r="B14" s="159">
        <f>_XLL.DIATRABALHOTOTAL($C$14,D14,Feriado!$A$1:$L$62)-1</f>
        <v>8</v>
      </c>
      <c r="C14" s="166">
        <v>40466</v>
      </c>
      <c r="D14" s="166">
        <f>B3</f>
        <v>40478</v>
      </c>
    </row>
    <row r="15" spans="1:2" ht="15">
      <c r="A15" s="157" t="s">
        <v>134</v>
      </c>
      <c r="B15" s="160">
        <f>(1+B12/100)^(B14/B13)</f>
        <v>1.0015182707031576</v>
      </c>
    </row>
    <row r="23" ht="12.75">
      <c r="B23" s="121"/>
    </row>
  </sheetData>
  <sheetProtection/>
  <mergeCells count="2">
    <mergeCell ref="A1:B1"/>
    <mergeCell ref="G1:K1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:K180"/>
  <sheetViews>
    <sheetView zoomScalePageLayoutView="0" workbookViewId="0" topLeftCell="A40">
      <selection activeCell="I56" sqref="I56"/>
    </sheetView>
  </sheetViews>
  <sheetFormatPr defaultColWidth="9.140625" defaultRowHeight="12.75"/>
  <cols>
    <col min="1" max="8" width="15.8515625" style="0" customWidth="1"/>
  </cols>
  <sheetData>
    <row r="1" spans="1:8" ht="20.25">
      <c r="A1" s="359" t="s">
        <v>121</v>
      </c>
      <c r="B1" s="359"/>
      <c r="C1" s="359"/>
      <c r="D1" s="359"/>
      <c r="E1" s="359"/>
      <c r="F1" s="359"/>
      <c r="G1" s="359"/>
      <c r="H1" s="359"/>
    </row>
    <row r="2" spans="1:11" ht="12.75">
      <c r="A2" s="139">
        <v>40544</v>
      </c>
      <c r="H2" s="144" t="s">
        <v>128</v>
      </c>
      <c r="J2" s="121" t="s">
        <v>127</v>
      </c>
      <c r="K2">
        <v>1000</v>
      </c>
    </row>
    <row r="3" spans="1:8" ht="12.75">
      <c r="A3" s="120" t="s">
        <v>116</v>
      </c>
      <c r="B3" s="120" t="s">
        <v>56</v>
      </c>
      <c r="C3" s="120" t="s">
        <v>102</v>
      </c>
      <c r="D3" s="120" t="s">
        <v>117</v>
      </c>
      <c r="E3" s="120" t="s">
        <v>24</v>
      </c>
      <c r="F3" s="120" t="s">
        <v>118</v>
      </c>
      <c r="G3" s="120" t="s">
        <v>119</v>
      </c>
      <c r="H3" s="120" t="s">
        <v>120</v>
      </c>
    </row>
    <row r="4" spans="1:6" ht="12.75">
      <c r="A4" s="16">
        <f>DADOS!A3</f>
        <v>41031</v>
      </c>
      <c r="B4">
        <f>DADOS!C3</f>
        <v>422</v>
      </c>
      <c r="C4">
        <f>DADOS!B3</f>
        <v>8.54</v>
      </c>
      <c r="D4">
        <f>DADOS!J3</f>
        <v>8.76</v>
      </c>
      <c r="E4" s="5">
        <f>100000/(1+C4/100)^(B4/252)</f>
        <v>87176.85133518744</v>
      </c>
      <c r="F4" s="133" t="s">
        <v>126</v>
      </c>
    </row>
    <row r="5" spans="1:8" ht="12.75">
      <c r="A5" s="16">
        <f>DADOS!A4</f>
        <v>41032</v>
      </c>
      <c r="B5">
        <f>DADOS!C4</f>
        <v>421</v>
      </c>
      <c r="C5">
        <f>DADOS!B4</f>
        <v>8.51</v>
      </c>
      <c r="D5">
        <f>DADOS!J4</f>
        <v>8.76</v>
      </c>
      <c r="E5" s="5">
        <f aca="true" t="shared" si="0" ref="E5:E59">100000/(1+C5/100)^(B5/252)</f>
        <v>87245.48766338921</v>
      </c>
      <c r="F5" s="5">
        <f>(1+D4/100)^(1/252)*E4</f>
        <v>87205.90593594918</v>
      </c>
      <c r="G5" s="5">
        <f>-E5+F5</f>
        <v>-39.58172744003241</v>
      </c>
      <c r="H5" s="1">
        <f>G5*$K$2</f>
        <v>-39581.72744003241</v>
      </c>
    </row>
    <row r="6" spans="1:8" ht="12.75">
      <c r="A6" s="16">
        <f>DADOS!A5</f>
        <v>41033</v>
      </c>
      <c r="B6">
        <f>DADOS!C5</f>
        <v>420</v>
      </c>
      <c r="C6">
        <f>DADOS!B5</f>
        <v>8.28</v>
      </c>
      <c r="D6">
        <f>DADOS!J5</f>
        <v>8.71</v>
      </c>
      <c r="E6" s="5">
        <f t="shared" si="0"/>
        <v>87582.9538328681</v>
      </c>
      <c r="F6" s="5">
        <f aca="true" t="shared" si="1" ref="F6:F59">(1+D5/100)^(1/252)*E5</f>
        <v>87274.56513950242</v>
      </c>
      <c r="G6" s="5">
        <f aca="true" t="shared" si="2" ref="G6:G59">-E6+F6</f>
        <v>-308.38869336567586</v>
      </c>
      <c r="H6" s="1">
        <f>H5+G6*$K$2</f>
        <v>-347970.4208057083</v>
      </c>
    </row>
    <row r="7" spans="1:8" ht="12.75">
      <c r="A7" s="16">
        <f>DADOS!A6</f>
        <v>41036</v>
      </c>
      <c r="B7">
        <f>DADOS!C6</f>
        <v>419</v>
      </c>
      <c r="C7">
        <f>DADOS!B6</f>
        <v>8.24</v>
      </c>
      <c r="D7">
        <f>DADOS!J6</f>
        <v>8.71</v>
      </c>
      <c r="E7" s="5">
        <f t="shared" si="0"/>
        <v>87664.44483018096</v>
      </c>
      <c r="F7" s="5">
        <f t="shared" si="1"/>
        <v>87611.98391195312</v>
      </c>
      <c r="G7" s="5">
        <f t="shared" si="2"/>
        <v>-52.46091822783637</v>
      </c>
      <c r="H7" s="1">
        <f aca="true" t="shared" si="3" ref="H7:H59">H6+G7*$K$2</f>
        <v>-400431.33903354465</v>
      </c>
    </row>
    <row r="8" spans="1:8" ht="12.75">
      <c r="A8" s="16">
        <f>DADOS!A7</f>
        <v>41037</v>
      </c>
      <c r="B8">
        <f>DADOS!C7</f>
        <v>418</v>
      </c>
      <c r="C8">
        <f>DADOS!B7</f>
        <v>8.38</v>
      </c>
      <c r="D8">
        <f>DADOS!J7</f>
        <v>8.69</v>
      </c>
      <c r="E8" s="5">
        <f t="shared" si="0"/>
        <v>87504.17939381402</v>
      </c>
      <c r="F8" s="5">
        <f t="shared" si="1"/>
        <v>87693.50192011676</v>
      </c>
      <c r="G8" s="5">
        <f t="shared" si="2"/>
        <v>189.3225263027416</v>
      </c>
      <c r="H8" s="1">
        <f t="shared" si="3"/>
        <v>-211108.81273080304</v>
      </c>
    </row>
    <row r="9" spans="1:8" ht="12.75">
      <c r="A9" s="16">
        <f>DADOS!A8</f>
        <v>41038</v>
      </c>
      <c r="B9">
        <f>DADOS!C8</f>
        <v>417</v>
      </c>
      <c r="C9">
        <f>DADOS!B8</f>
        <v>8.56</v>
      </c>
      <c r="D9">
        <f>DADOS!J8</f>
        <v>8.69</v>
      </c>
      <c r="E9" s="5">
        <f t="shared" si="0"/>
        <v>87292.09496682436</v>
      </c>
      <c r="F9" s="5">
        <f t="shared" si="1"/>
        <v>87533.11945193504</v>
      </c>
      <c r="G9" s="5">
        <f t="shared" si="2"/>
        <v>241.0244851106836</v>
      </c>
      <c r="H9" s="1">
        <f t="shared" si="3"/>
        <v>29915.67237988056</v>
      </c>
    </row>
    <row r="10" spans="1:8" ht="12.75">
      <c r="A10" s="16">
        <f>DADOS!A9</f>
        <v>41039</v>
      </c>
      <c r="B10">
        <f>DADOS!C9</f>
        <v>416</v>
      </c>
      <c r="C10">
        <f>DADOS!B9</f>
        <v>8.46</v>
      </c>
      <c r="D10">
        <f>DADOS!J9</f>
        <v>8.68</v>
      </c>
      <c r="E10" s="5">
        <f t="shared" si="0"/>
        <v>87453.4945451653</v>
      </c>
      <c r="F10" s="5">
        <f t="shared" si="1"/>
        <v>87320.96488274548</v>
      </c>
      <c r="G10" s="5">
        <f t="shared" si="2"/>
        <v>-132.52966241982358</v>
      </c>
      <c r="H10" s="1">
        <f t="shared" si="3"/>
        <v>-102613.99003994302</v>
      </c>
    </row>
    <row r="11" spans="1:8" ht="12.75">
      <c r="A11" s="16">
        <f>DADOS!A10</f>
        <v>41040</v>
      </c>
      <c r="B11">
        <f>DADOS!C10</f>
        <v>415</v>
      </c>
      <c r="C11">
        <f>DADOS!B10</f>
        <v>8.47</v>
      </c>
      <c r="D11">
        <f>DADOS!J10</f>
        <v>8.68</v>
      </c>
      <c r="E11" s="5">
        <f t="shared" si="0"/>
        <v>87468.4011062696</v>
      </c>
      <c r="F11" s="5">
        <f t="shared" si="1"/>
        <v>87482.38589925169</v>
      </c>
      <c r="G11" s="5">
        <f t="shared" si="2"/>
        <v>13.984792982097133</v>
      </c>
      <c r="H11" s="1">
        <f t="shared" si="3"/>
        <v>-88629.19705784589</v>
      </c>
    </row>
    <row r="12" spans="1:8" ht="12.75">
      <c r="A12" s="16">
        <f>DADOS!A11</f>
        <v>41043</v>
      </c>
      <c r="B12">
        <f>DADOS!C11</f>
        <v>414</v>
      </c>
      <c r="C12">
        <f>DADOS!B11</f>
        <v>8.38</v>
      </c>
      <c r="D12">
        <f>DADOS!J11</f>
        <v>8.63</v>
      </c>
      <c r="E12" s="5">
        <f t="shared" si="0"/>
        <v>87616.02473939706</v>
      </c>
      <c r="F12" s="5">
        <f t="shared" si="1"/>
        <v>87497.2973849246</v>
      </c>
      <c r="G12" s="5">
        <f t="shared" si="2"/>
        <v>-118.72735447245941</v>
      </c>
      <c r="H12" s="1">
        <f t="shared" si="3"/>
        <v>-207356.5515303053</v>
      </c>
    </row>
    <row r="13" spans="1:8" ht="12.75">
      <c r="A13" s="16">
        <f>DADOS!A12</f>
        <v>41044</v>
      </c>
      <c r="B13">
        <f>DADOS!C12</f>
        <v>413</v>
      </c>
      <c r="C13">
        <f>DADOS!B12</f>
        <v>8.32</v>
      </c>
      <c r="D13">
        <f>DADOS!J12</f>
        <v>8.72</v>
      </c>
      <c r="E13" s="5">
        <f t="shared" si="0"/>
        <v>87723.58606788806</v>
      </c>
      <c r="F13" s="5">
        <f t="shared" si="1"/>
        <v>87644.8097407991</v>
      </c>
      <c r="G13" s="5">
        <f t="shared" si="2"/>
        <v>-78.77632708895544</v>
      </c>
      <c r="H13" s="1">
        <f t="shared" si="3"/>
        <v>-286132.87861926074</v>
      </c>
    </row>
    <row r="14" spans="1:8" ht="12.75">
      <c r="A14" s="16">
        <f>DADOS!A13</f>
        <v>41045</v>
      </c>
      <c r="B14">
        <f>DADOS!C13</f>
        <v>412</v>
      </c>
      <c r="C14">
        <f>DADOS!B13</f>
        <v>8.21</v>
      </c>
      <c r="D14">
        <f>DADOS!J13</f>
        <v>8.73</v>
      </c>
      <c r="E14" s="5">
        <f t="shared" si="0"/>
        <v>87897.29812022627</v>
      </c>
      <c r="F14" s="5">
        <f t="shared" si="1"/>
        <v>87752.69479165664</v>
      </c>
      <c r="G14" s="5">
        <f t="shared" si="2"/>
        <v>-144.60332856963214</v>
      </c>
      <c r="H14" s="1">
        <f t="shared" si="3"/>
        <v>-430736.2071888929</v>
      </c>
    </row>
    <row r="15" spans="1:8" ht="12.75">
      <c r="A15" s="16">
        <f>DADOS!A14</f>
        <v>41046</v>
      </c>
      <c r="B15">
        <f>DADOS!C14</f>
        <v>411</v>
      </c>
      <c r="C15">
        <f>DADOS!B14</f>
        <v>8.18</v>
      </c>
      <c r="D15">
        <f>DADOS!J14</f>
        <v>8.74</v>
      </c>
      <c r="E15" s="5">
        <f t="shared" si="0"/>
        <v>87964.59477654085</v>
      </c>
      <c r="F15" s="5">
        <f t="shared" si="1"/>
        <v>87926.49657716833</v>
      </c>
      <c r="G15" s="5">
        <f t="shared" si="2"/>
        <v>-38.0981993725145</v>
      </c>
      <c r="H15" s="1">
        <f t="shared" si="3"/>
        <v>-468834.4065614074</v>
      </c>
    </row>
    <row r="16" spans="1:8" ht="12.75">
      <c r="A16" s="16">
        <f>DADOS!A15</f>
        <v>41047</v>
      </c>
      <c r="B16">
        <f>DADOS!C15</f>
        <v>410</v>
      </c>
      <c r="C16">
        <f>DADOS!B15</f>
        <v>8.07</v>
      </c>
      <c r="D16">
        <f>DADOS!J15</f>
        <v>8.76</v>
      </c>
      <c r="E16" s="5">
        <f t="shared" si="0"/>
        <v>88137.80966869694</v>
      </c>
      <c r="F16" s="5">
        <f t="shared" si="1"/>
        <v>87993.84770175426</v>
      </c>
      <c r="G16" s="5">
        <f t="shared" si="2"/>
        <v>-143.96196694267564</v>
      </c>
      <c r="H16" s="1">
        <f t="shared" si="3"/>
        <v>-612796.373504083</v>
      </c>
    </row>
    <row r="17" spans="1:8" ht="12.75">
      <c r="A17" s="16">
        <f>DADOS!A16</f>
        <v>41050</v>
      </c>
      <c r="B17">
        <f>DADOS!C16</f>
        <v>409</v>
      </c>
      <c r="C17">
        <f>DADOS!B16</f>
        <v>8.19</v>
      </c>
      <c r="D17">
        <f>DADOS!J16</f>
        <v>8.73</v>
      </c>
      <c r="E17" s="5">
        <f t="shared" si="0"/>
        <v>88006.29953908201</v>
      </c>
      <c r="F17" s="5">
        <f t="shared" si="1"/>
        <v>88167.18454095622</v>
      </c>
      <c r="G17" s="5">
        <f t="shared" si="2"/>
        <v>160.88500187420868</v>
      </c>
      <c r="H17" s="1">
        <f t="shared" si="3"/>
        <v>-451911.37162987434</v>
      </c>
    </row>
    <row r="18" spans="1:8" ht="12.75">
      <c r="A18" s="16">
        <f>DADOS!A17</f>
        <v>41051</v>
      </c>
      <c r="B18">
        <f>DADOS!C17</f>
        <v>408</v>
      </c>
      <c r="C18">
        <f>DADOS!B17</f>
        <v>8.44</v>
      </c>
      <c r="D18">
        <f>DADOS!J17</f>
        <v>8.77</v>
      </c>
      <c r="E18" s="5">
        <f t="shared" si="0"/>
        <v>87705.43550108821</v>
      </c>
      <c r="F18" s="5">
        <f t="shared" si="1"/>
        <v>88035.53420502371</v>
      </c>
      <c r="G18" s="5">
        <f t="shared" si="2"/>
        <v>330.098703935495</v>
      </c>
      <c r="H18" s="1">
        <f t="shared" si="3"/>
        <v>-121812.66769437934</v>
      </c>
    </row>
    <row r="19" spans="1:8" ht="12.75">
      <c r="A19" s="16">
        <f>DADOS!A18</f>
        <v>41052</v>
      </c>
      <c r="B19">
        <f>DADOS!C18</f>
        <v>407</v>
      </c>
      <c r="C19">
        <f>DADOS!B18</f>
        <v>8.34</v>
      </c>
      <c r="D19">
        <f>DADOS!J18</f>
        <v>8.78</v>
      </c>
      <c r="E19" s="5">
        <f t="shared" si="0"/>
        <v>87864.46652147816</v>
      </c>
      <c r="F19" s="5">
        <f t="shared" si="1"/>
        <v>87734.69827989816</v>
      </c>
      <c r="G19" s="5">
        <f t="shared" si="2"/>
        <v>-129.76824157999363</v>
      </c>
      <c r="H19" s="1">
        <f t="shared" si="3"/>
        <v>-251580.90927437297</v>
      </c>
    </row>
    <row r="20" spans="1:8" ht="12.75">
      <c r="A20" s="16">
        <f>DADOS!A19</f>
        <v>41053</v>
      </c>
      <c r="B20">
        <f>DADOS!C19</f>
        <v>406</v>
      </c>
      <c r="C20">
        <f>DADOS!B19</f>
        <v>8.62</v>
      </c>
      <c r="D20">
        <f>DADOS!J19</f>
        <v>8.78</v>
      </c>
      <c r="E20" s="5">
        <f t="shared" si="0"/>
        <v>87527.66134852704</v>
      </c>
      <c r="F20" s="5">
        <f t="shared" si="1"/>
        <v>87893.8144255395</v>
      </c>
      <c r="G20" s="5">
        <f t="shared" si="2"/>
        <v>366.1530770124664</v>
      </c>
      <c r="H20" s="1">
        <f t="shared" si="3"/>
        <v>114572.16773809341</v>
      </c>
    </row>
    <row r="21" spans="1:8" ht="12.75">
      <c r="A21" s="16">
        <f>DADOS!A20</f>
        <v>41054</v>
      </c>
      <c r="B21">
        <f>DADOS!C20</f>
        <v>405</v>
      </c>
      <c r="C21">
        <f>DADOS!B20</f>
        <v>8.52</v>
      </c>
      <c r="D21">
        <f>DADOS!J20</f>
        <v>8.79</v>
      </c>
      <c r="E21" s="5">
        <f t="shared" si="0"/>
        <v>87686.0895152929</v>
      </c>
      <c r="F21" s="5">
        <f t="shared" si="1"/>
        <v>87556.89675516714</v>
      </c>
      <c r="G21" s="5">
        <f t="shared" si="2"/>
        <v>-129.19276012576302</v>
      </c>
      <c r="H21" s="1">
        <f t="shared" si="3"/>
        <v>-14620.592387669603</v>
      </c>
    </row>
    <row r="22" spans="1:8" ht="12.75">
      <c r="A22" s="16">
        <f>DADOS!A21</f>
        <v>41057</v>
      </c>
      <c r="B22">
        <f>DADOS!C21</f>
        <v>404</v>
      </c>
      <c r="C22">
        <f>DADOS!B21</f>
        <v>8.51</v>
      </c>
      <c r="D22">
        <f>DADOS!J21</f>
        <v>8.78</v>
      </c>
      <c r="E22" s="5">
        <f t="shared" si="0"/>
        <v>87727.50458678463</v>
      </c>
      <c r="F22" s="5">
        <f t="shared" si="1"/>
        <v>87715.40983583333</v>
      </c>
      <c r="G22" s="5">
        <f t="shared" si="2"/>
        <v>-12.094750951306196</v>
      </c>
      <c r="H22" s="1">
        <f t="shared" si="3"/>
        <v>-26715.3433389758</v>
      </c>
    </row>
    <row r="23" spans="1:8" ht="12.75">
      <c r="A23" s="16">
        <f>DADOS!A22</f>
        <v>41058</v>
      </c>
      <c r="B23">
        <f>DADOS!C22</f>
        <v>403</v>
      </c>
      <c r="C23">
        <f>DADOS!B22</f>
        <v>8.35</v>
      </c>
      <c r="D23">
        <f>DADOS!J22</f>
        <v>8.79</v>
      </c>
      <c r="E23" s="5">
        <f t="shared" si="0"/>
        <v>87963.27227488978</v>
      </c>
      <c r="F23" s="5">
        <f t="shared" si="1"/>
        <v>87756.80674373252</v>
      </c>
      <c r="G23" s="5">
        <f t="shared" si="2"/>
        <v>-206.46553115725692</v>
      </c>
      <c r="H23" s="1">
        <f t="shared" si="3"/>
        <v>-233180.87449623272</v>
      </c>
    </row>
    <row r="24" spans="1:8" ht="12.75">
      <c r="A24" s="16">
        <f>DADOS!A23</f>
        <v>41059</v>
      </c>
      <c r="B24">
        <f>DADOS!C23</f>
        <v>402</v>
      </c>
      <c r="C24">
        <f>DADOS!B23</f>
        <v>8.34</v>
      </c>
      <c r="D24">
        <f>DADOS!J23</f>
        <v>8.81</v>
      </c>
      <c r="E24" s="5">
        <f t="shared" si="0"/>
        <v>88004.22669797132</v>
      </c>
      <c r="F24" s="5">
        <f t="shared" si="1"/>
        <v>87992.68527931433</v>
      </c>
      <c r="G24" s="5">
        <f t="shared" si="2"/>
        <v>-11.541418656983296</v>
      </c>
      <c r="H24" s="1">
        <f t="shared" si="3"/>
        <v>-244722.29315321601</v>
      </c>
    </row>
    <row r="25" spans="1:8" ht="12.75">
      <c r="A25" s="16">
        <f>DADOS!A24</f>
        <v>41060</v>
      </c>
      <c r="B25">
        <f>DADOS!C24</f>
        <v>401</v>
      </c>
      <c r="C25">
        <f>DADOS!B24</f>
        <v>8.27</v>
      </c>
      <c r="D25">
        <f>DADOS!J24</f>
        <v>8.33</v>
      </c>
      <c r="E25" s="5">
        <f t="shared" si="0"/>
        <v>88122.79082080894</v>
      </c>
      <c r="F25" s="5">
        <f t="shared" si="1"/>
        <v>88033.71761357985</v>
      </c>
      <c r="G25" s="5">
        <f t="shared" si="2"/>
        <v>-89.0732072290848</v>
      </c>
      <c r="H25" s="1">
        <f t="shared" si="3"/>
        <v>-333795.5003823008</v>
      </c>
    </row>
    <row r="26" spans="1:8" ht="12.75">
      <c r="A26" s="16">
        <f>DADOS!A25</f>
        <v>41061</v>
      </c>
      <c r="B26">
        <f>DADOS!C25</f>
        <v>400</v>
      </c>
      <c r="C26">
        <f>DADOS!B25</f>
        <v>8.23</v>
      </c>
      <c r="D26">
        <f>DADOS!J25</f>
        <v>8.34</v>
      </c>
      <c r="E26" s="5">
        <f t="shared" si="0"/>
        <v>88202.29941174338</v>
      </c>
      <c r="F26" s="5">
        <f t="shared" si="1"/>
        <v>88150.77492693943</v>
      </c>
      <c r="G26" s="5">
        <f t="shared" si="2"/>
        <v>-51.52448480395833</v>
      </c>
      <c r="H26" s="1">
        <f t="shared" si="3"/>
        <v>-385319.98518625915</v>
      </c>
    </row>
    <row r="27" spans="1:8" ht="12.75">
      <c r="A27" s="16">
        <f>DADOS!A26</f>
        <v>41064</v>
      </c>
      <c r="B27">
        <f>DADOS!C26</f>
        <v>399</v>
      </c>
      <c r="C27">
        <f>DADOS!B26</f>
        <v>8.39</v>
      </c>
      <c r="D27">
        <f>DADOS!J26</f>
        <v>8.35</v>
      </c>
      <c r="E27" s="5">
        <f t="shared" si="0"/>
        <v>88023.85966120393</v>
      </c>
      <c r="F27" s="5">
        <f t="shared" si="1"/>
        <v>88230.34108477419</v>
      </c>
      <c r="G27" s="5">
        <f t="shared" si="2"/>
        <v>206.48142357026518</v>
      </c>
      <c r="H27" s="1">
        <f t="shared" si="3"/>
        <v>-178838.56161599397</v>
      </c>
    </row>
    <row r="28" spans="1:8" ht="12.75">
      <c r="A28" s="16">
        <f>DADOS!A27</f>
        <v>41065</v>
      </c>
      <c r="B28">
        <f>DADOS!C27</f>
        <v>398</v>
      </c>
      <c r="C28">
        <f>DADOS!B27</f>
        <v>8.33</v>
      </c>
      <c r="D28">
        <f>DADOS!J27</f>
        <v>8.36</v>
      </c>
      <c r="E28" s="5">
        <f t="shared" si="0"/>
        <v>88129.04186601429</v>
      </c>
      <c r="F28" s="5">
        <f t="shared" si="1"/>
        <v>88051.87685381985</v>
      </c>
      <c r="G28" s="5">
        <f t="shared" si="2"/>
        <v>-77.16501219444035</v>
      </c>
      <c r="H28" s="1">
        <f t="shared" si="3"/>
        <v>-256003.57381043432</v>
      </c>
    </row>
    <row r="29" spans="1:8" ht="12.75">
      <c r="A29" s="16">
        <f>DADOS!A28</f>
        <v>41066</v>
      </c>
      <c r="B29">
        <f>DADOS!C28</f>
        <v>397</v>
      </c>
      <c r="C29">
        <f>DADOS!B28</f>
        <v>8.28</v>
      </c>
      <c r="D29">
        <f>DADOS!J28</f>
        <v>8.32</v>
      </c>
      <c r="E29" s="5">
        <f t="shared" si="0"/>
        <v>88221.16757265125</v>
      </c>
      <c r="F29" s="5">
        <f t="shared" si="1"/>
        <v>88157.12482269188</v>
      </c>
      <c r="G29" s="5">
        <f t="shared" si="2"/>
        <v>-64.0427499593643</v>
      </c>
      <c r="H29" s="1">
        <f t="shared" si="3"/>
        <v>-320046.3237697986</v>
      </c>
    </row>
    <row r="30" spans="1:8" ht="12.75">
      <c r="A30" s="16">
        <f>DADOS!A29</f>
        <v>41068</v>
      </c>
      <c r="B30">
        <f>DADOS!C29</f>
        <v>396</v>
      </c>
      <c r="C30">
        <f>DADOS!B29</f>
        <v>8.14</v>
      </c>
      <c r="D30">
        <f>DADOS!J29</f>
        <v>8.36</v>
      </c>
      <c r="E30" s="5">
        <f t="shared" si="0"/>
        <v>88428.62143984696</v>
      </c>
      <c r="F30" s="5">
        <f t="shared" si="1"/>
        <v>88249.15059092735</v>
      </c>
      <c r="G30" s="5">
        <f t="shared" si="2"/>
        <v>-179.4708489196055</v>
      </c>
      <c r="H30" s="1">
        <f t="shared" si="3"/>
        <v>-499517.1726894041</v>
      </c>
    </row>
    <row r="31" spans="1:8" ht="12.75">
      <c r="A31" s="16">
        <f>DADOS!A30</f>
        <v>41071</v>
      </c>
      <c r="B31">
        <f>DADOS!C30</f>
        <v>395</v>
      </c>
      <c r="C31">
        <f>DADOS!B30</f>
        <v>8.09</v>
      </c>
      <c r="D31">
        <f>DADOS!J30</f>
        <v>8.32</v>
      </c>
      <c r="E31" s="5">
        <f t="shared" si="0"/>
        <v>88520.23191009782</v>
      </c>
      <c r="F31" s="5">
        <f t="shared" si="1"/>
        <v>88456.79985972279</v>
      </c>
      <c r="G31" s="5">
        <f t="shared" si="2"/>
        <v>-63.43205037503503</v>
      </c>
      <c r="H31" s="1">
        <f t="shared" si="3"/>
        <v>-562949.2230644391</v>
      </c>
    </row>
    <row r="32" spans="1:8" ht="12.75">
      <c r="A32" s="16">
        <f>DADOS!A31</f>
        <v>41072</v>
      </c>
      <c r="B32">
        <f>DADOS!C31</f>
        <v>394</v>
      </c>
      <c r="C32">
        <f>DADOS!B31</f>
        <v>8.04</v>
      </c>
      <c r="D32">
        <f>DADOS!J31</f>
        <v>8.34</v>
      </c>
      <c r="E32" s="5">
        <f t="shared" si="0"/>
        <v>88611.64169168139</v>
      </c>
      <c r="F32" s="5">
        <f t="shared" si="1"/>
        <v>88548.3097890865</v>
      </c>
      <c r="G32" s="5">
        <f t="shared" si="2"/>
        <v>-63.33190259488765</v>
      </c>
      <c r="H32" s="1">
        <f t="shared" si="3"/>
        <v>-626281.1256593268</v>
      </c>
    </row>
    <row r="33" spans="1:8" ht="12.75">
      <c r="A33" s="16">
        <f>DADOS!A32</f>
        <v>41073</v>
      </c>
      <c r="B33">
        <f>DADOS!C32</f>
        <v>393</v>
      </c>
      <c r="C33">
        <f>DADOS!B32</f>
        <v>8</v>
      </c>
      <c r="D33">
        <f>DADOS!J32</f>
        <v>8.35</v>
      </c>
      <c r="E33" s="5">
        <f t="shared" si="0"/>
        <v>88690.04137763708</v>
      </c>
      <c r="F33" s="5">
        <f t="shared" si="1"/>
        <v>88639.81350465695</v>
      </c>
      <c r="G33" s="5">
        <f t="shared" si="2"/>
        <v>-50.227872980132815</v>
      </c>
      <c r="H33" s="1">
        <f t="shared" si="3"/>
        <v>-676508.9986394596</v>
      </c>
    </row>
    <row r="34" spans="1:8" ht="12.75">
      <c r="A34" s="16">
        <f>DADOS!A33</f>
        <v>41074</v>
      </c>
      <c r="B34">
        <f>DADOS!C33</f>
        <v>392</v>
      </c>
      <c r="C34">
        <f>DADOS!B33</f>
        <v>7.98</v>
      </c>
      <c r="D34">
        <f>DADOS!J33</f>
        <v>8.34</v>
      </c>
      <c r="E34" s="5">
        <f t="shared" si="0"/>
        <v>88742.69396156825</v>
      </c>
      <c r="F34" s="5">
        <f t="shared" si="1"/>
        <v>88718.2706098243</v>
      </c>
      <c r="G34" s="5">
        <f t="shared" si="2"/>
        <v>-24.423351743942476</v>
      </c>
      <c r="H34" s="1">
        <f t="shared" si="3"/>
        <v>-700932.3503834021</v>
      </c>
    </row>
    <row r="35" spans="1:8" ht="12.75">
      <c r="A35" s="16">
        <f>DADOS!A34</f>
        <v>41075</v>
      </c>
      <c r="B35">
        <f>DADOS!C34</f>
        <v>391</v>
      </c>
      <c r="C35">
        <f>DADOS!B34</f>
        <v>8.09</v>
      </c>
      <c r="D35">
        <f>DADOS!J34</f>
        <v>8.32</v>
      </c>
      <c r="E35" s="5">
        <f t="shared" si="0"/>
        <v>88629.60649453211</v>
      </c>
      <c r="F35" s="5">
        <f t="shared" si="1"/>
        <v>88770.9074392728</v>
      </c>
      <c r="G35" s="5">
        <f t="shared" si="2"/>
        <v>141.30094474069483</v>
      </c>
      <c r="H35" s="1">
        <f t="shared" si="3"/>
        <v>-559631.4056427073</v>
      </c>
    </row>
    <row r="36" spans="1:8" ht="12.75">
      <c r="A36" s="16">
        <f>DADOS!A35</f>
        <v>41078</v>
      </c>
      <c r="B36">
        <f>DADOS!C35</f>
        <v>390</v>
      </c>
      <c r="C36">
        <f>DADOS!B35</f>
        <v>8.05</v>
      </c>
      <c r="D36">
        <f>DADOS!J35</f>
        <v>8.35</v>
      </c>
      <c r="E36" s="5">
        <f t="shared" si="0"/>
        <v>88707.77037065169</v>
      </c>
      <c r="F36" s="5">
        <f t="shared" si="1"/>
        <v>88657.7190662264</v>
      </c>
      <c r="G36" s="5">
        <f t="shared" si="2"/>
        <v>-50.051304425287526</v>
      </c>
      <c r="H36" s="1">
        <f t="shared" si="3"/>
        <v>-609682.7100679948</v>
      </c>
    </row>
    <row r="37" spans="1:8" ht="12.75">
      <c r="A37" s="16">
        <f>DADOS!A36</f>
        <v>41079</v>
      </c>
      <c r="B37">
        <f>DADOS!C36</f>
        <v>389</v>
      </c>
      <c r="C37">
        <f>DADOS!B36</f>
        <v>8.03</v>
      </c>
      <c r="D37">
        <f>DADOS!J36</f>
        <v>8.32</v>
      </c>
      <c r="E37" s="5">
        <f t="shared" si="0"/>
        <v>88760.38906699867</v>
      </c>
      <c r="F37" s="5">
        <f t="shared" si="1"/>
        <v>88736.00524581588</v>
      </c>
      <c r="G37" s="5">
        <f t="shared" si="2"/>
        <v>-24.383821182796964</v>
      </c>
      <c r="H37" s="1">
        <f t="shared" si="3"/>
        <v>-634066.5312507917</v>
      </c>
    </row>
    <row r="38" spans="1:8" ht="12.75">
      <c r="A38" s="16">
        <f>DADOS!A37</f>
        <v>41080</v>
      </c>
      <c r="B38">
        <f>DADOS!C37</f>
        <v>388</v>
      </c>
      <c r="C38">
        <f>DADOS!B37</f>
        <v>8.08</v>
      </c>
      <c r="D38">
        <f>DADOS!J37</f>
        <v>8.37</v>
      </c>
      <c r="E38" s="5">
        <f t="shared" si="0"/>
        <v>88724.36409232479</v>
      </c>
      <c r="F38" s="5">
        <f t="shared" si="1"/>
        <v>88788.54312183376</v>
      </c>
      <c r="G38" s="5">
        <f t="shared" si="2"/>
        <v>64.17902950897405</v>
      </c>
      <c r="H38" s="1">
        <f t="shared" si="3"/>
        <v>-569887.5017418177</v>
      </c>
    </row>
    <row r="39" spans="1:8" ht="12.75">
      <c r="A39" s="16">
        <f>DADOS!A38</f>
        <v>41081</v>
      </c>
      <c r="B39">
        <f>DADOS!C38</f>
        <v>387</v>
      </c>
      <c r="C39">
        <f>DADOS!B38</f>
        <v>8.05</v>
      </c>
      <c r="D39">
        <f>DADOS!J38</f>
        <v>8.38</v>
      </c>
      <c r="E39" s="5">
        <f t="shared" si="0"/>
        <v>88789.5711736894</v>
      </c>
      <c r="F39" s="5">
        <f t="shared" si="1"/>
        <v>88752.66925336525</v>
      </c>
      <c r="G39" s="5">
        <f t="shared" si="2"/>
        <v>-36.901920324147795</v>
      </c>
      <c r="H39" s="1">
        <f t="shared" si="3"/>
        <v>-606789.4220659655</v>
      </c>
    </row>
    <row r="40" spans="1:8" ht="12.75">
      <c r="A40" s="16">
        <f>DADOS!A39</f>
        <v>41082</v>
      </c>
      <c r="B40">
        <f>DADOS!C39</f>
        <v>386</v>
      </c>
      <c r="C40">
        <f>DADOS!B39</f>
        <v>8.05</v>
      </c>
      <c r="D40">
        <f>DADOS!J39</f>
        <v>8.36</v>
      </c>
      <c r="E40" s="5">
        <f t="shared" si="0"/>
        <v>88816.85486718523</v>
      </c>
      <c r="F40" s="5">
        <f t="shared" si="1"/>
        <v>88817.92965884999</v>
      </c>
      <c r="G40" s="5">
        <f t="shared" si="2"/>
        <v>1.0747916647524107</v>
      </c>
      <c r="H40" s="1">
        <f t="shared" si="3"/>
        <v>-605714.6304012131</v>
      </c>
    </row>
    <row r="41" spans="1:8" ht="12.75">
      <c r="A41" s="16">
        <f>DADOS!A40</f>
        <v>41085</v>
      </c>
      <c r="B41">
        <f>DADOS!C40</f>
        <v>385</v>
      </c>
      <c r="C41">
        <f>DADOS!B40</f>
        <v>7.95</v>
      </c>
      <c r="D41">
        <f>DADOS!J40</f>
        <v>8.38</v>
      </c>
      <c r="E41" s="5">
        <f t="shared" si="0"/>
        <v>88969.9156239345</v>
      </c>
      <c r="F41" s="5">
        <f t="shared" si="1"/>
        <v>88845.15700045098</v>
      </c>
      <c r="G41" s="5">
        <f t="shared" si="2"/>
        <v>-124.75862348351802</v>
      </c>
      <c r="H41" s="1">
        <f t="shared" si="3"/>
        <v>-730473.2538847311</v>
      </c>
    </row>
    <row r="42" spans="1:8" ht="12.75">
      <c r="A42" s="16">
        <f>DADOS!A41</f>
        <v>41086</v>
      </c>
      <c r="B42">
        <f>DADOS!C41</f>
        <v>384</v>
      </c>
      <c r="C42">
        <f>DADOS!B41</f>
        <v>7.9399999999999995</v>
      </c>
      <c r="D42">
        <f>DADOS!J41</f>
        <v>8.35</v>
      </c>
      <c r="E42" s="5">
        <f t="shared" si="0"/>
        <v>89009.49190221407</v>
      </c>
      <c r="F42" s="5">
        <f t="shared" si="1"/>
        <v>88998.3317092766</v>
      </c>
      <c r="G42" s="5">
        <f t="shared" si="2"/>
        <v>-11.160192937473767</v>
      </c>
      <c r="H42" s="1">
        <f t="shared" si="3"/>
        <v>-741633.4468222049</v>
      </c>
    </row>
    <row r="43" spans="1:8" ht="12.75">
      <c r="A43" s="16">
        <f>DADOS!A42</f>
        <v>41087</v>
      </c>
      <c r="B43">
        <f>DADOS!C42</f>
        <v>383</v>
      </c>
      <c r="C43">
        <f>DADOS!B42</f>
        <v>7.9399999999999995</v>
      </c>
      <c r="D43">
        <f>DADOS!J42</f>
        <v>8.37</v>
      </c>
      <c r="E43" s="5">
        <f t="shared" si="0"/>
        <v>89036.48329427742</v>
      </c>
      <c r="F43" s="5">
        <f t="shared" si="1"/>
        <v>89037.822812593</v>
      </c>
      <c r="G43" s="5">
        <f t="shared" si="2"/>
        <v>1.33951831558079</v>
      </c>
      <c r="H43" s="1">
        <f t="shared" si="3"/>
        <v>-740293.9285066241</v>
      </c>
    </row>
    <row r="44" spans="1:8" ht="12.75">
      <c r="A44" s="16">
        <f>DADOS!A43</f>
        <v>41088</v>
      </c>
      <c r="B44">
        <f>DADOS!C43</f>
        <v>382</v>
      </c>
      <c r="C44">
        <f>DADOS!B43</f>
        <v>7.87</v>
      </c>
      <c r="D44">
        <f>DADOS!J43</f>
        <v>8.36</v>
      </c>
      <c r="E44" s="5">
        <f t="shared" si="0"/>
        <v>89151.108780509</v>
      </c>
      <c r="F44" s="5">
        <f t="shared" si="1"/>
        <v>89064.88802869173</v>
      </c>
      <c r="G44" s="5">
        <f t="shared" si="2"/>
        <v>-86.22075181727996</v>
      </c>
      <c r="H44" s="1">
        <f t="shared" si="3"/>
        <v>-826514.680323904</v>
      </c>
    </row>
    <row r="45" spans="1:8" ht="12.75">
      <c r="A45" s="16">
        <f>DADOS!A44</f>
        <v>41089</v>
      </c>
      <c r="B45">
        <f>DADOS!C44</f>
        <v>381</v>
      </c>
      <c r="C45">
        <f>DADOS!B44</f>
        <v>7.89</v>
      </c>
      <c r="D45">
        <f>DADOS!J44</f>
        <v>8.38</v>
      </c>
      <c r="E45" s="5">
        <f t="shared" si="0"/>
        <v>89152.92103379163</v>
      </c>
      <c r="F45" s="5">
        <f t="shared" si="1"/>
        <v>89179.51742620209</v>
      </c>
      <c r="G45" s="5">
        <f t="shared" si="2"/>
        <v>26.596392410458066</v>
      </c>
      <c r="H45" s="1">
        <f t="shared" si="3"/>
        <v>-799918.287913446</v>
      </c>
    </row>
    <row r="46" spans="1:8" ht="12.75">
      <c r="A46" s="16">
        <f>DADOS!A45</f>
        <v>41092</v>
      </c>
      <c r="B46">
        <f>DADOS!C45</f>
        <v>380</v>
      </c>
      <c r="C46">
        <f>DADOS!B45</f>
        <v>7.84</v>
      </c>
      <c r="D46">
        <f>DADOS!J45</f>
        <v>8.36</v>
      </c>
      <c r="E46" s="5">
        <f t="shared" si="0"/>
        <v>89242.14975089689</v>
      </c>
      <c r="F46" s="5">
        <f t="shared" si="1"/>
        <v>89181.39556919865</v>
      </c>
      <c r="G46" s="5">
        <f t="shared" si="2"/>
        <v>-60.754181698241155</v>
      </c>
      <c r="H46" s="1">
        <f t="shared" si="3"/>
        <v>-860672.4696116871</v>
      </c>
    </row>
    <row r="47" spans="1:8" ht="12.75">
      <c r="A47" s="16">
        <f>DADOS!A46</f>
        <v>41093</v>
      </c>
      <c r="B47">
        <f>DADOS!C46</f>
        <v>379</v>
      </c>
      <c r="C47">
        <f>DADOS!B46</f>
        <v>7.82</v>
      </c>
      <c r="D47">
        <f>DADOS!J46</f>
        <v>8.36</v>
      </c>
      <c r="E47" s="5">
        <f t="shared" si="0"/>
        <v>89293.78854106</v>
      </c>
      <c r="F47" s="5">
        <f t="shared" si="1"/>
        <v>89270.58740745374</v>
      </c>
      <c r="G47" s="5">
        <f t="shared" si="2"/>
        <v>-23.201133606256917</v>
      </c>
      <c r="H47" s="1">
        <f t="shared" si="3"/>
        <v>-883873.603217944</v>
      </c>
    </row>
    <row r="48" spans="1:8" ht="12.75">
      <c r="A48" s="16">
        <f>DADOS!A47</f>
        <v>41094</v>
      </c>
      <c r="B48">
        <f>DADOS!C47</f>
        <v>378</v>
      </c>
      <c r="C48">
        <f>DADOS!B47</f>
        <v>7.88</v>
      </c>
      <c r="D48">
        <f>DADOS!J47</f>
        <v>8.37</v>
      </c>
      <c r="E48" s="5">
        <f t="shared" si="0"/>
        <v>89245.96571479115</v>
      </c>
      <c r="F48" s="5">
        <f t="shared" si="1"/>
        <v>89322.24265269087</v>
      </c>
      <c r="G48" s="5">
        <f t="shared" si="2"/>
        <v>76.27693789971818</v>
      </c>
      <c r="H48" s="1">
        <f t="shared" si="3"/>
        <v>-807596.6653182259</v>
      </c>
    </row>
    <row r="49" spans="1:8" ht="12.75">
      <c r="A49" s="16">
        <f>DADOS!A48</f>
        <v>41095</v>
      </c>
      <c r="B49">
        <f>DADOS!C48</f>
        <v>377</v>
      </c>
      <c r="C49">
        <f>DADOS!B48</f>
        <v>7.91</v>
      </c>
      <c r="D49">
        <f>DADOS!J48</f>
        <v>8.36</v>
      </c>
      <c r="E49" s="5">
        <f t="shared" si="0"/>
        <v>89235.70485208902</v>
      </c>
      <c r="F49" s="5">
        <f t="shared" si="1"/>
        <v>89274.43727902957</v>
      </c>
      <c r="G49" s="5">
        <f t="shared" si="2"/>
        <v>38.732426940550795</v>
      </c>
      <c r="H49" s="1">
        <f t="shared" si="3"/>
        <v>-768864.2383776751</v>
      </c>
    </row>
    <row r="50" spans="1:8" ht="12.75">
      <c r="A50" s="16">
        <f>DADOS!A49</f>
        <v>41096</v>
      </c>
      <c r="B50">
        <f>DADOS!C49</f>
        <v>376</v>
      </c>
      <c r="C50">
        <f>DADOS!B49</f>
        <v>7.82</v>
      </c>
      <c r="D50">
        <f>DADOS!J49</f>
        <v>8.34</v>
      </c>
      <c r="E50" s="5">
        <f t="shared" si="0"/>
        <v>89373.86246781226</v>
      </c>
      <c r="F50" s="5">
        <f t="shared" si="1"/>
        <v>89264.14045493225</v>
      </c>
      <c r="G50" s="5">
        <f t="shared" si="2"/>
        <v>-109.72201288001088</v>
      </c>
      <c r="H50" s="1">
        <f t="shared" si="3"/>
        <v>-878586.251257686</v>
      </c>
    </row>
    <row r="51" spans="1:8" ht="12.75">
      <c r="A51" s="16">
        <f>DADOS!A50</f>
        <v>41100</v>
      </c>
      <c r="B51">
        <f>DADOS!C50</f>
        <v>374</v>
      </c>
      <c r="C51">
        <f>DADOS!B50</f>
        <v>7.74</v>
      </c>
      <c r="D51">
        <f>DADOS!J50</f>
        <v>8.32</v>
      </c>
      <c r="E51" s="5">
        <f t="shared" si="0"/>
        <v>89525.85211624189</v>
      </c>
      <c r="F51" s="5">
        <f t="shared" si="1"/>
        <v>89402.27660945638</v>
      </c>
      <c r="G51" s="5">
        <f t="shared" si="2"/>
        <v>-123.57550678550615</v>
      </c>
      <c r="H51" s="1">
        <f t="shared" si="3"/>
        <v>-1002161.7580431921</v>
      </c>
    </row>
    <row r="52" spans="1:8" ht="12.75">
      <c r="A52" s="16">
        <f>DADOS!A51</f>
        <v>41101</v>
      </c>
      <c r="B52">
        <f>DADOS!C51</f>
        <v>373</v>
      </c>
      <c r="C52">
        <f>DADOS!B51</f>
        <v>7.64</v>
      </c>
      <c r="D52">
        <f>DADOS!J51</f>
        <v>8.3</v>
      </c>
      <c r="E52" s="5">
        <f t="shared" si="0"/>
        <v>89675.5120015278</v>
      </c>
      <c r="F52" s="5">
        <f t="shared" si="1"/>
        <v>89554.24896956951</v>
      </c>
      <c r="G52" s="5">
        <f t="shared" si="2"/>
        <v>-121.26303195828223</v>
      </c>
      <c r="H52" s="1">
        <f t="shared" si="3"/>
        <v>-1123424.7900014743</v>
      </c>
    </row>
    <row r="53" spans="1:8" ht="12.75">
      <c r="A53" s="16">
        <f>DADOS!A52</f>
        <v>41102</v>
      </c>
      <c r="B53">
        <f>DADOS!C52</f>
        <v>372</v>
      </c>
      <c r="C53">
        <f>DADOS!B52</f>
        <v>7.6899999999999995</v>
      </c>
      <c r="D53">
        <f>DADOS!J52</f>
        <v>7.85</v>
      </c>
      <c r="E53" s="5">
        <f t="shared" si="0"/>
        <v>89640.24089386128</v>
      </c>
      <c r="F53" s="5">
        <f t="shared" si="1"/>
        <v>89703.89059440457</v>
      </c>
      <c r="G53" s="5">
        <f t="shared" si="2"/>
        <v>63.64970054329024</v>
      </c>
      <c r="H53" s="1">
        <f t="shared" si="3"/>
        <v>-1059775.089458184</v>
      </c>
    </row>
    <row r="54" spans="1:8" ht="12.75">
      <c r="A54" s="16">
        <f>DADOS!A53</f>
        <v>41103</v>
      </c>
      <c r="B54">
        <f>DADOS!C53</f>
        <v>371</v>
      </c>
      <c r="C54">
        <f>DADOS!B53</f>
        <v>7.67</v>
      </c>
      <c r="D54">
        <f>DADOS!J53</f>
        <v>7.83</v>
      </c>
      <c r="E54" s="5">
        <f t="shared" si="0"/>
        <v>89691.12062226041</v>
      </c>
      <c r="F54" s="5">
        <f t="shared" si="1"/>
        <v>89667.12674799138</v>
      </c>
      <c r="G54" s="5">
        <f t="shared" si="2"/>
        <v>-23.99387426902831</v>
      </c>
      <c r="H54" s="1">
        <f t="shared" si="3"/>
        <v>-1083768.9637272125</v>
      </c>
    </row>
    <row r="55" spans="1:8" ht="12.75">
      <c r="A55" s="16">
        <f>DADOS!A54</f>
        <v>41106</v>
      </c>
      <c r="B55">
        <f>DADOS!C54</f>
        <v>370</v>
      </c>
      <c r="C55">
        <f>DADOS!B54</f>
        <v>7.66</v>
      </c>
      <c r="D55">
        <f>DADOS!J54</f>
        <v>7.85</v>
      </c>
      <c r="E55" s="5">
        <f t="shared" si="0"/>
        <v>89729.66286342447</v>
      </c>
      <c r="F55" s="5">
        <f t="shared" si="1"/>
        <v>89717.95570863313</v>
      </c>
      <c r="G55" s="5">
        <f t="shared" si="2"/>
        <v>-11.707154791336507</v>
      </c>
      <c r="H55" s="1">
        <f t="shared" si="3"/>
        <v>-1095476.118518549</v>
      </c>
    </row>
    <row r="56" spans="1:8" ht="12.75">
      <c r="A56" s="16">
        <f>DADOS!A55</f>
        <v>41107</v>
      </c>
      <c r="B56">
        <f>DADOS!C55</f>
        <v>369</v>
      </c>
      <c r="C56">
        <f>DADOS!B55</f>
        <v>7.78</v>
      </c>
      <c r="D56">
        <f>DADOS!J55</f>
        <v>7.82</v>
      </c>
      <c r="E56" s="5">
        <f t="shared" si="0"/>
        <v>89609.65575542077</v>
      </c>
      <c r="F56" s="5">
        <f t="shared" si="1"/>
        <v>89756.57553794244</v>
      </c>
      <c r="G56" s="5">
        <f t="shared" si="2"/>
        <v>146.91978252166882</v>
      </c>
      <c r="H56" s="1">
        <f t="shared" si="3"/>
        <v>-948556.3359968802</v>
      </c>
    </row>
    <row r="57" spans="1:8" ht="12.75">
      <c r="A57" s="16">
        <f>DADOS!A56</f>
        <v>41108</v>
      </c>
      <c r="B57">
        <f>DADOS!C56</f>
        <v>368</v>
      </c>
      <c r="C57">
        <f>DADOS!B56</f>
        <v>7.76</v>
      </c>
      <c r="D57">
        <f>DADOS!J56</f>
        <v>7.8</v>
      </c>
      <c r="E57" s="5">
        <f t="shared" si="0"/>
        <v>89660.59678882398</v>
      </c>
      <c r="F57" s="5">
        <f t="shared" si="1"/>
        <v>89636.43347929926</v>
      </c>
      <c r="G57" s="5">
        <f t="shared" si="2"/>
        <v>-24.163309524723445</v>
      </c>
      <c r="H57" s="1">
        <f t="shared" si="3"/>
        <v>-972719.6455216036</v>
      </c>
    </row>
    <row r="58" spans="1:8" ht="12.75">
      <c r="A58" s="16">
        <f>DADOS!A57</f>
        <v>41109</v>
      </c>
      <c r="B58">
        <f>DADOS!C57</f>
        <v>367</v>
      </c>
      <c r="C58">
        <f>DADOS!B57</f>
        <v>7.68</v>
      </c>
      <c r="D58">
        <f>DADOS!J57</f>
        <v>7.83</v>
      </c>
      <c r="E58" s="5">
        <f t="shared" si="0"/>
        <v>89784.24809730855</v>
      </c>
      <c r="F58" s="5">
        <f t="shared" si="1"/>
        <v>89687.32371125415</v>
      </c>
      <c r="G58" s="5">
        <f t="shared" si="2"/>
        <v>-96.92438605439384</v>
      </c>
      <c r="H58" s="1">
        <f t="shared" si="3"/>
        <v>-1069644.0315759974</v>
      </c>
    </row>
    <row r="59" spans="1:8" ht="12.75">
      <c r="A59" s="16">
        <f>DADOS!A58</f>
        <v>41110</v>
      </c>
      <c r="B59">
        <f>DADOS!C58</f>
        <v>366</v>
      </c>
      <c r="C59">
        <f>DADOS!B58</f>
        <v>7.75</v>
      </c>
      <c r="D59">
        <f>DADOS!J58</f>
        <v>7.84</v>
      </c>
      <c r="E59" s="5">
        <f t="shared" si="0"/>
        <v>89725.88728496536</v>
      </c>
      <c r="F59" s="5">
        <f t="shared" si="1"/>
        <v>89811.11104690585</v>
      </c>
      <c r="G59" s="5">
        <f t="shared" si="2"/>
        <v>85.22376194049139</v>
      </c>
      <c r="H59" s="1">
        <f t="shared" si="3"/>
        <v>-984420.269635506</v>
      </c>
    </row>
    <row r="60" spans="1:8" ht="12.75">
      <c r="A60" s="16">
        <f>DADOS!A59</f>
        <v>41113</v>
      </c>
      <c r="B60">
        <f>DADOS!C59</f>
        <v>365</v>
      </c>
      <c r="C60">
        <f>DADOS!B59</f>
        <v>7.68</v>
      </c>
      <c r="D60">
        <f>DADOS!J59</f>
        <v>7.84</v>
      </c>
      <c r="E60" s="5">
        <f aca="true" t="shared" si="4" ref="E60:E123">100000/(1+C60/100)^(B60/252)</f>
        <v>89836.9895099208</v>
      </c>
      <c r="F60" s="5">
        <f aca="true" t="shared" si="5" ref="F60:F123">(1+D59/100)^(1/252)*E59</f>
        <v>89752.76580172653</v>
      </c>
      <c r="G60" s="5">
        <f aca="true" t="shared" si="6" ref="G60:G123">-E60+F60</f>
        <v>-84.2237081942585</v>
      </c>
      <c r="H60" s="1">
        <f aca="true" t="shared" si="7" ref="H60:H123">H59+G60*$K$2</f>
        <v>-1068643.9778297646</v>
      </c>
    </row>
    <row r="61" spans="1:8" ht="12.75">
      <c r="A61" s="16">
        <f>DADOS!A60</f>
        <v>41114</v>
      </c>
      <c r="B61">
        <f>DADOS!C60</f>
        <v>364</v>
      </c>
      <c r="C61">
        <f>DADOS!B60</f>
        <v>7.73</v>
      </c>
      <c r="D61">
        <f>DADOS!J60</f>
        <v>7.82</v>
      </c>
      <c r="E61" s="5">
        <f t="shared" si="4"/>
        <v>89803.13361754455</v>
      </c>
      <c r="F61" s="5">
        <f t="shared" si="5"/>
        <v>89863.90130874923</v>
      </c>
      <c r="G61" s="5">
        <f t="shared" si="6"/>
        <v>60.76769120468816</v>
      </c>
      <c r="H61" s="1">
        <f t="shared" si="7"/>
        <v>-1007876.2866250764</v>
      </c>
    </row>
    <row r="62" spans="1:8" ht="12.75">
      <c r="A62" s="16">
        <f>DADOS!A61</f>
        <v>41115</v>
      </c>
      <c r="B62">
        <f>DADOS!C61</f>
        <v>363</v>
      </c>
      <c r="C62">
        <f>DADOS!B61</f>
        <v>7.67</v>
      </c>
      <c r="D62">
        <f>DADOS!J61</f>
        <v>7.84</v>
      </c>
      <c r="E62" s="5">
        <f t="shared" si="4"/>
        <v>89901.7881612115</v>
      </c>
      <c r="F62" s="5">
        <f t="shared" si="5"/>
        <v>89829.96915770104</v>
      </c>
      <c r="G62" s="5">
        <f t="shared" si="6"/>
        <v>-71.81900351046352</v>
      </c>
      <c r="H62" s="1">
        <f t="shared" si="7"/>
        <v>-1079695.29013554</v>
      </c>
    </row>
    <row r="63" spans="1:8" ht="12.75">
      <c r="A63" s="16">
        <f>DADOS!A62</f>
        <v>41116</v>
      </c>
      <c r="B63">
        <f>DADOS!C62</f>
        <v>362</v>
      </c>
      <c r="C63">
        <f>DADOS!B62</f>
        <v>7.74</v>
      </c>
      <c r="D63">
        <f>DADOS!J62</f>
        <v>7.8100000000000005</v>
      </c>
      <c r="E63" s="5">
        <f t="shared" si="4"/>
        <v>89844.23681273649</v>
      </c>
      <c r="F63" s="5">
        <f t="shared" si="5"/>
        <v>89928.71937129</v>
      </c>
      <c r="G63" s="5">
        <f t="shared" si="6"/>
        <v>84.48255855351454</v>
      </c>
      <c r="H63" s="1">
        <f t="shared" si="7"/>
        <v>-995212.7315820255</v>
      </c>
    </row>
    <row r="64" spans="1:8" ht="12.75">
      <c r="A64" s="16">
        <f>DADOS!A63</f>
        <v>41117</v>
      </c>
      <c r="B64">
        <f>DADOS!C63</f>
        <v>361</v>
      </c>
      <c r="C64">
        <f>DADOS!B63</f>
        <v>7.86</v>
      </c>
      <c r="D64">
        <f>DADOS!J63</f>
        <v>7.79</v>
      </c>
      <c r="E64" s="5">
        <f t="shared" si="4"/>
        <v>89727.62037180428</v>
      </c>
      <c r="F64" s="5">
        <f t="shared" si="5"/>
        <v>89871.05155753861</v>
      </c>
      <c r="G64" s="5">
        <f t="shared" si="6"/>
        <v>143.4311857343273</v>
      </c>
      <c r="H64" s="1">
        <f t="shared" si="7"/>
        <v>-851781.5458476982</v>
      </c>
    </row>
    <row r="65" spans="1:8" ht="12.75">
      <c r="A65" s="16">
        <f>DADOS!A64</f>
        <v>41120</v>
      </c>
      <c r="B65">
        <f>DADOS!C64</f>
        <v>360</v>
      </c>
      <c r="C65">
        <f>DADOS!B64</f>
        <v>7.84</v>
      </c>
      <c r="D65">
        <f>DADOS!J64</f>
        <v>7.83</v>
      </c>
      <c r="E65" s="5">
        <f t="shared" si="4"/>
        <v>89778.3462250642</v>
      </c>
      <c r="F65" s="5">
        <f t="shared" si="5"/>
        <v>89754.33423204953</v>
      </c>
      <c r="G65" s="5">
        <f t="shared" si="6"/>
        <v>-24.01199301467568</v>
      </c>
      <c r="H65" s="1">
        <f t="shared" si="7"/>
        <v>-875793.5388623739</v>
      </c>
    </row>
    <row r="66" spans="1:8" ht="12.75">
      <c r="A66" s="16">
        <f>DADOS!A65</f>
        <v>41121</v>
      </c>
      <c r="B66">
        <f>DADOS!C65</f>
        <v>359</v>
      </c>
      <c r="C66">
        <f>DADOS!B65</f>
        <v>7.85</v>
      </c>
      <c r="D66">
        <f>DADOS!J65</f>
        <v>7.83</v>
      </c>
      <c r="E66" s="5">
        <f t="shared" si="4"/>
        <v>89793.37821157313</v>
      </c>
      <c r="F66" s="5">
        <f t="shared" si="5"/>
        <v>89805.20740885404</v>
      </c>
      <c r="G66" s="5">
        <f t="shared" si="6"/>
        <v>11.829197280909284</v>
      </c>
      <c r="H66" s="1">
        <f t="shared" si="7"/>
        <v>-863964.3415814646</v>
      </c>
    </row>
    <row r="67" spans="1:8" ht="12.75">
      <c r="A67" s="16">
        <f>DADOS!A66</f>
        <v>41122</v>
      </c>
      <c r="B67">
        <f>DADOS!C66</f>
        <v>358</v>
      </c>
      <c r="C67">
        <f>DADOS!B66</f>
        <v>7.76</v>
      </c>
      <c r="D67">
        <f>DADOS!J66</f>
        <v>7.83</v>
      </c>
      <c r="E67" s="5">
        <f t="shared" si="4"/>
        <v>89926.90042994094</v>
      </c>
      <c r="F67" s="5">
        <f t="shared" si="5"/>
        <v>89820.24389285003</v>
      </c>
      <c r="G67" s="5">
        <f t="shared" si="6"/>
        <v>-106.65653709090839</v>
      </c>
      <c r="H67" s="1">
        <f t="shared" si="7"/>
        <v>-970620.878672373</v>
      </c>
    </row>
    <row r="68" spans="1:8" ht="12.75">
      <c r="A68" s="16">
        <f>DADOS!A67</f>
        <v>41123</v>
      </c>
      <c r="B68">
        <f>DADOS!C67</f>
        <v>357</v>
      </c>
      <c r="C68">
        <f>DADOS!B67</f>
        <v>7.72</v>
      </c>
      <c r="D68">
        <f>DADOS!J67</f>
        <v>7.82</v>
      </c>
      <c r="E68" s="5">
        <f t="shared" si="4"/>
        <v>90000.89846438738</v>
      </c>
      <c r="F68" s="5">
        <f t="shared" si="5"/>
        <v>89953.80606032583</v>
      </c>
      <c r="G68" s="5">
        <f t="shared" si="6"/>
        <v>-47.09240406155004</v>
      </c>
      <c r="H68" s="1">
        <f t="shared" si="7"/>
        <v>-1017713.282733923</v>
      </c>
    </row>
    <row r="69" spans="1:8" ht="12.75">
      <c r="A69" s="16">
        <f>DADOS!A68</f>
        <v>41124</v>
      </c>
      <c r="B69">
        <f>DADOS!C68</f>
        <v>356</v>
      </c>
      <c r="C69">
        <f>DADOS!B68</f>
        <v>7.78</v>
      </c>
      <c r="D69">
        <f>DADOS!J68</f>
        <v>7.83</v>
      </c>
      <c r="E69" s="5">
        <f t="shared" si="4"/>
        <v>89956.66904345648</v>
      </c>
      <c r="F69" s="5">
        <f t="shared" si="5"/>
        <v>90027.79310188575</v>
      </c>
      <c r="G69" s="5">
        <f t="shared" si="6"/>
        <v>71.12405842926819</v>
      </c>
      <c r="H69" s="1">
        <f t="shared" si="7"/>
        <v>-946589.2243046549</v>
      </c>
    </row>
    <row r="70" spans="1:8" ht="12.75">
      <c r="A70" s="16">
        <f>DADOS!A69</f>
        <v>41127</v>
      </c>
      <c r="B70">
        <f>DADOS!C69</f>
        <v>355</v>
      </c>
      <c r="C70">
        <f>DADOS!B69</f>
        <v>7.79</v>
      </c>
      <c r="D70">
        <f>DADOS!J69</f>
        <v>7.82</v>
      </c>
      <c r="E70" s="5">
        <f t="shared" si="4"/>
        <v>89971.65806882041</v>
      </c>
      <c r="F70" s="5">
        <f t="shared" si="5"/>
        <v>89983.5835804456</v>
      </c>
      <c r="G70" s="5">
        <f t="shared" si="6"/>
        <v>11.925511625187937</v>
      </c>
      <c r="H70" s="1">
        <f t="shared" si="7"/>
        <v>-934663.7126794669</v>
      </c>
    </row>
    <row r="71" spans="1:8" ht="12.75">
      <c r="A71" s="16">
        <f>DADOS!A70</f>
        <v>41128</v>
      </c>
      <c r="B71">
        <f>DADOS!C70</f>
        <v>354</v>
      </c>
      <c r="C71">
        <f>DADOS!B70</f>
        <v>7.77</v>
      </c>
      <c r="D71">
        <f>DADOS!J70</f>
        <v>7.82</v>
      </c>
      <c r="E71" s="5">
        <f t="shared" si="4"/>
        <v>90021.90772525554</v>
      </c>
      <c r="F71" s="5">
        <f t="shared" si="5"/>
        <v>89998.5439685189</v>
      </c>
      <c r="G71" s="5">
        <f t="shared" si="6"/>
        <v>-23.363756736638607</v>
      </c>
      <c r="H71" s="1">
        <f t="shared" si="7"/>
        <v>-958027.4694161055</v>
      </c>
    </row>
    <row r="72" spans="1:8" ht="12.75">
      <c r="A72" s="16">
        <f>DADOS!A71</f>
        <v>41129</v>
      </c>
      <c r="B72">
        <f>DADOS!C71</f>
        <v>353</v>
      </c>
      <c r="C72">
        <f>DADOS!B71</f>
        <v>7.76</v>
      </c>
      <c r="D72">
        <f>DADOS!J71</f>
        <v>7.82</v>
      </c>
      <c r="E72" s="5">
        <f t="shared" si="4"/>
        <v>90060.34871251184</v>
      </c>
      <c r="F72" s="5">
        <f t="shared" si="5"/>
        <v>90048.80864087408</v>
      </c>
      <c r="G72" s="5">
        <f t="shared" si="6"/>
        <v>-11.540071637762594</v>
      </c>
      <c r="H72" s="1">
        <f t="shared" si="7"/>
        <v>-969567.5410538681</v>
      </c>
    </row>
    <row r="73" spans="1:8" ht="12.75">
      <c r="A73" s="16">
        <f>DADOS!A72</f>
        <v>41130</v>
      </c>
      <c r="B73">
        <f>DADOS!C72</f>
        <v>352</v>
      </c>
      <c r="C73">
        <f>DADOS!B72</f>
        <v>7.77</v>
      </c>
      <c r="D73">
        <f>DADOS!J72</f>
        <v>7.82</v>
      </c>
      <c r="E73" s="5">
        <f t="shared" si="4"/>
        <v>90075.38600034086</v>
      </c>
      <c r="F73" s="5">
        <f t="shared" si="5"/>
        <v>90087.26111530921</v>
      </c>
      <c r="G73" s="5">
        <f t="shared" si="6"/>
        <v>11.875114968352136</v>
      </c>
      <c r="H73" s="1">
        <f t="shared" si="7"/>
        <v>-957692.426085516</v>
      </c>
    </row>
    <row r="74" spans="1:8" ht="12.75">
      <c r="A74" s="16">
        <f>DADOS!A73</f>
        <v>41131</v>
      </c>
      <c r="B74">
        <f>DADOS!C73</f>
        <v>351</v>
      </c>
      <c r="C74">
        <f>DADOS!B73</f>
        <v>7.82</v>
      </c>
      <c r="D74">
        <f>DADOS!J73</f>
        <v>7.82</v>
      </c>
      <c r="E74" s="5">
        <f t="shared" si="4"/>
        <v>90043.9437779302</v>
      </c>
      <c r="F74" s="5">
        <f t="shared" si="5"/>
        <v>90102.30289667567</v>
      </c>
      <c r="G74" s="5">
        <f t="shared" si="6"/>
        <v>58.3591187454731</v>
      </c>
      <c r="H74" s="1">
        <f t="shared" si="7"/>
        <v>-899333.3073400429</v>
      </c>
    </row>
    <row r="75" spans="1:8" ht="12.75">
      <c r="A75" s="16">
        <f>DADOS!A74</f>
        <v>41134</v>
      </c>
      <c r="B75">
        <f>DADOS!C74</f>
        <v>350</v>
      </c>
      <c r="C75">
        <f>DADOS!B74</f>
        <v>7.75</v>
      </c>
      <c r="D75">
        <f>DADOS!J74</f>
        <v>7.8</v>
      </c>
      <c r="E75" s="5">
        <f t="shared" si="4"/>
        <v>90152.13196855404</v>
      </c>
      <c r="F75" s="5">
        <f t="shared" si="5"/>
        <v>90070.8512785013</v>
      </c>
      <c r="G75" s="5">
        <f t="shared" si="6"/>
        <v>-81.28069005273574</v>
      </c>
      <c r="H75" s="1">
        <f t="shared" si="7"/>
        <v>-980613.9973927786</v>
      </c>
    </row>
    <row r="76" spans="1:8" ht="12.75">
      <c r="A76" s="16">
        <f>DADOS!A75</f>
        <v>41135</v>
      </c>
      <c r="B76">
        <f>DADOS!C75</f>
        <v>349</v>
      </c>
      <c r="C76">
        <f>DADOS!B75</f>
        <v>7.75</v>
      </c>
      <c r="D76">
        <f>DADOS!J75</f>
        <v>7.83</v>
      </c>
      <c r="E76" s="5">
        <f t="shared" si="4"/>
        <v>90178.83939418095</v>
      </c>
      <c r="F76" s="5">
        <f t="shared" si="5"/>
        <v>90179.00541267925</v>
      </c>
      <c r="G76" s="5">
        <f t="shared" si="6"/>
        <v>0.16601849830476567</v>
      </c>
      <c r="H76" s="1">
        <f t="shared" si="7"/>
        <v>-980447.9788944739</v>
      </c>
    </row>
    <row r="77" spans="1:8" ht="12.75">
      <c r="A77" s="16">
        <f>DADOS!A76</f>
        <v>41136</v>
      </c>
      <c r="B77">
        <f>DADOS!C76</f>
        <v>348</v>
      </c>
      <c r="C77">
        <f>DADOS!B76</f>
        <v>7.75</v>
      </c>
      <c r="D77">
        <f>DADOS!J76</f>
        <v>7.83</v>
      </c>
      <c r="E77" s="5">
        <f t="shared" si="4"/>
        <v>90205.55473184021</v>
      </c>
      <c r="F77" s="5">
        <f t="shared" si="5"/>
        <v>90205.82040330811</v>
      </c>
      <c r="G77" s="5">
        <f t="shared" si="6"/>
        <v>0.265671467903303</v>
      </c>
      <c r="H77" s="1">
        <f t="shared" si="7"/>
        <v>-980182.3074265706</v>
      </c>
    </row>
    <row r="78" spans="1:8" ht="12.75">
      <c r="A78" s="16">
        <f>DADOS!A77</f>
        <v>41137</v>
      </c>
      <c r="B78">
        <f>DADOS!C77</f>
        <v>347</v>
      </c>
      <c r="C78">
        <f>DADOS!B77</f>
        <v>7.87</v>
      </c>
      <c r="D78">
        <f>DADOS!J77</f>
        <v>7.82</v>
      </c>
      <c r="E78" s="5">
        <f t="shared" si="4"/>
        <v>90094.08680364177</v>
      </c>
      <c r="F78" s="5">
        <f t="shared" si="5"/>
        <v>90232.54373404839</v>
      </c>
      <c r="G78" s="5">
        <f t="shared" si="6"/>
        <v>138.45693040662445</v>
      </c>
      <c r="H78" s="1">
        <f t="shared" si="7"/>
        <v>-841725.3770199461</v>
      </c>
    </row>
    <row r="79" spans="1:8" ht="12.75">
      <c r="A79" s="16">
        <f>DADOS!A78</f>
        <v>41138</v>
      </c>
      <c r="B79">
        <f>DADOS!C78</f>
        <v>346</v>
      </c>
      <c r="C79">
        <f>DADOS!B78</f>
        <v>7.86</v>
      </c>
      <c r="D79">
        <f>DADOS!J78</f>
        <v>7.84</v>
      </c>
      <c r="E79" s="5">
        <f t="shared" si="4"/>
        <v>90132.64736625287</v>
      </c>
      <c r="F79" s="5">
        <f t="shared" si="5"/>
        <v>90121.00928826885</v>
      </c>
      <c r="G79" s="5">
        <f t="shared" si="6"/>
        <v>-11.638077984025585</v>
      </c>
      <c r="H79" s="1">
        <f t="shared" si="7"/>
        <v>-853363.4550039717</v>
      </c>
    </row>
    <row r="80" spans="1:8" ht="12.75">
      <c r="A80" s="16">
        <f>DADOS!A79</f>
        <v>41141</v>
      </c>
      <c r="B80">
        <f>DADOS!C79</f>
        <v>345</v>
      </c>
      <c r="C80">
        <f>DADOS!B79</f>
        <v>7.92</v>
      </c>
      <c r="D80">
        <f>DADOS!J79</f>
        <v>7.85</v>
      </c>
      <c r="E80" s="5">
        <f t="shared" si="4"/>
        <v>90091.09643142961</v>
      </c>
      <c r="F80" s="5">
        <f t="shared" si="5"/>
        <v>90159.64773310653</v>
      </c>
      <c r="G80" s="5">
        <f t="shared" si="6"/>
        <v>68.55130167691095</v>
      </c>
      <c r="H80" s="1">
        <f t="shared" si="7"/>
        <v>-784812.1533270607</v>
      </c>
    </row>
    <row r="81" spans="1:8" ht="12.75">
      <c r="A81" s="16">
        <f>DADOS!A80</f>
        <v>41142</v>
      </c>
      <c r="B81">
        <f>DADOS!C80</f>
        <v>344</v>
      </c>
      <c r="C81">
        <f>DADOS!B80</f>
        <v>7.89</v>
      </c>
      <c r="D81">
        <f>DADOS!J80</f>
        <v>7.82</v>
      </c>
      <c r="E81" s="5">
        <f t="shared" si="4"/>
        <v>90152.55798083574</v>
      </c>
      <c r="F81" s="5">
        <f t="shared" si="5"/>
        <v>90118.11751094616</v>
      </c>
      <c r="G81" s="5">
        <f t="shared" si="6"/>
        <v>-34.440469889581436</v>
      </c>
      <c r="H81" s="1">
        <f t="shared" si="7"/>
        <v>-819252.6232166422</v>
      </c>
    </row>
    <row r="82" spans="1:8" ht="12.75">
      <c r="A82" s="16">
        <f>DADOS!A81</f>
        <v>41143</v>
      </c>
      <c r="B82">
        <f>DADOS!C81</f>
        <v>343</v>
      </c>
      <c r="C82">
        <f>DADOS!B81</f>
        <v>7.93</v>
      </c>
      <c r="D82">
        <f>DADOS!J81</f>
        <v>7.8100000000000005</v>
      </c>
      <c r="E82" s="5">
        <f t="shared" si="4"/>
        <v>90134.2427780899</v>
      </c>
      <c r="F82" s="5">
        <f t="shared" si="5"/>
        <v>90179.49793818967</v>
      </c>
      <c r="G82" s="5">
        <f t="shared" si="6"/>
        <v>45.255160099768545</v>
      </c>
      <c r="H82" s="1">
        <f t="shared" si="7"/>
        <v>-773997.4631168736</v>
      </c>
    </row>
    <row r="83" spans="1:8" ht="12.75">
      <c r="A83" s="16">
        <f>DADOS!A82</f>
        <v>41144</v>
      </c>
      <c r="B83">
        <f>DADOS!C82</f>
        <v>342</v>
      </c>
      <c r="C83">
        <f>DADOS!B82</f>
        <v>7.96</v>
      </c>
      <c r="D83">
        <f>DADOS!J82</f>
        <v>7.8100000000000005</v>
      </c>
      <c r="E83" s="5">
        <f t="shared" si="4"/>
        <v>90127.54171720169</v>
      </c>
      <c r="F83" s="5">
        <f t="shared" si="5"/>
        <v>90161.14407753623</v>
      </c>
      <c r="G83" s="5">
        <f t="shared" si="6"/>
        <v>33.60236033453839</v>
      </c>
      <c r="H83" s="1">
        <f t="shared" si="7"/>
        <v>-740395.1027823352</v>
      </c>
    </row>
    <row r="84" spans="1:8" ht="12.75">
      <c r="A84" s="16">
        <f>DADOS!A83</f>
        <v>41145</v>
      </c>
      <c r="B84">
        <f>DADOS!C83</f>
        <v>341</v>
      </c>
      <c r="C84">
        <f>DADOS!B83</f>
        <v>7.96</v>
      </c>
      <c r="D84">
        <f>DADOS!J83</f>
        <v>7.82</v>
      </c>
      <c r="E84" s="5">
        <f t="shared" si="4"/>
        <v>90154.93843070851</v>
      </c>
      <c r="F84" s="5">
        <f t="shared" si="5"/>
        <v>90154.44101666177</v>
      </c>
      <c r="G84" s="5">
        <f t="shared" si="6"/>
        <v>-0.49741404673841316</v>
      </c>
      <c r="H84" s="1">
        <f t="shared" si="7"/>
        <v>-740892.5168290737</v>
      </c>
    </row>
    <row r="85" spans="1:8" ht="12.75">
      <c r="A85" s="16">
        <f>DADOS!A84</f>
        <v>41148</v>
      </c>
      <c r="B85">
        <f>DADOS!C84</f>
        <v>340</v>
      </c>
      <c r="C85">
        <f>DADOS!B84</f>
        <v>7.89</v>
      </c>
      <c r="D85">
        <f>DADOS!J84</f>
        <v>7.83</v>
      </c>
      <c r="E85" s="5">
        <f t="shared" si="4"/>
        <v>90261.29597991086</v>
      </c>
      <c r="F85" s="5">
        <f t="shared" si="5"/>
        <v>90181.87909940351</v>
      </c>
      <c r="G85" s="5">
        <f t="shared" si="6"/>
        <v>-79.41688050735684</v>
      </c>
      <c r="H85" s="1">
        <f t="shared" si="7"/>
        <v>-820309.3973364305</v>
      </c>
    </row>
    <row r="86" spans="1:8" ht="12.75">
      <c r="A86" s="16">
        <f>DADOS!A85</f>
        <v>41149</v>
      </c>
      <c r="B86">
        <f>DADOS!C85</f>
        <v>339</v>
      </c>
      <c r="C86">
        <f>DADOS!B85</f>
        <v>7.82</v>
      </c>
      <c r="D86">
        <f>DADOS!J85</f>
        <v>7.83</v>
      </c>
      <c r="E86" s="5">
        <f t="shared" si="4"/>
        <v>90367.36499793021</v>
      </c>
      <c r="F86" s="5">
        <f t="shared" si="5"/>
        <v>90288.30165959164</v>
      </c>
      <c r="G86" s="5">
        <f t="shared" si="6"/>
        <v>-79.06333833857207</v>
      </c>
      <c r="H86" s="1">
        <f t="shared" si="7"/>
        <v>-899372.7356750026</v>
      </c>
    </row>
    <row r="87" spans="1:8" ht="12.75">
      <c r="A87" s="16">
        <f>DADOS!A86</f>
        <v>41150</v>
      </c>
      <c r="B87">
        <f>DADOS!C86</f>
        <v>338</v>
      </c>
      <c r="C87">
        <f>DADOS!B86</f>
        <v>7.75</v>
      </c>
      <c r="D87">
        <f>DADOS!J86</f>
        <v>7.82</v>
      </c>
      <c r="E87" s="5">
        <f t="shared" si="4"/>
        <v>90473.14378621928</v>
      </c>
      <c r="F87" s="5">
        <f t="shared" si="5"/>
        <v>90394.40241287353</v>
      </c>
      <c r="G87" s="5">
        <f t="shared" si="6"/>
        <v>-78.74137334575062</v>
      </c>
      <c r="H87" s="1">
        <f t="shared" si="7"/>
        <v>-978114.1090207532</v>
      </c>
    </row>
    <row r="88" spans="1:8" ht="12.75">
      <c r="A88" s="16">
        <f>DADOS!A87</f>
        <v>41151</v>
      </c>
      <c r="B88">
        <f>DADOS!C87</f>
        <v>337</v>
      </c>
      <c r="C88">
        <f>DADOS!B87</f>
        <v>7.83</v>
      </c>
      <c r="D88">
        <f>DADOS!J87</f>
        <v>7.38</v>
      </c>
      <c r="E88" s="5">
        <f t="shared" si="4"/>
        <v>90410.16752877191</v>
      </c>
      <c r="F88" s="5">
        <f t="shared" si="5"/>
        <v>90500.17954305043</v>
      </c>
      <c r="G88" s="5">
        <f t="shared" si="6"/>
        <v>90.01201427851629</v>
      </c>
      <c r="H88" s="1">
        <f t="shared" si="7"/>
        <v>-888102.0947422369</v>
      </c>
    </row>
    <row r="89" spans="1:8" ht="12.75">
      <c r="A89" s="16">
        <f>DADOS!A88</f>
        <v>41152</v>
      </c>
      <c r="B89">
        <f>DADOS!C88</f>
        <v>336</v>
      </c>
      <c r="C89">
        <f>DADOS!B88</f>
        <v>7.82</v>
      </c>
      <c r="D89">
        <f>DADOS!J88</f>
        <v>7.38</v>
      </c>
      <c r="E89" s="5">
        <f t="shared" si="4"/>
        <v>90448.40165102633</v>
      </c>
      <c r="F89" s="5">
        <f t="shared" si="5"/>
        <v>90435.71694680727</v>
      </c>
      <c r="G89" s="5">
        <f t="shared" si="6"/>
        <v>-12.68470421906386</v>
      </c>
      <c r="H89" s="1">
        <f t="shared" si="7"/>
        <v>-900786.7989613008</v>
      </c>
    </row>
    <row r="90" spans="1:8" ht="12.75">
      <c r="A90" s="16">
        <f>DADOS!A89</f>
        <v>41155</v>
      </c>
      <c r="B90">
        <f>DADOS!C89</f>
        <v>335</v>
      </c>
      <c r="C90">
        <f>DADOS!B89</f>
        <v>7.75</v>
      </c>
      <c r="D90">
        <f>DADOS!J89</f>
        <v>7.41</v>
      </c>
      <c r="E90" s="5">
        <f t="shared" si="4"/>
        <v>90553.5751837887</v>
      </c>
      <c r="F90" s="5">
        <f t="shared" si="5"/>
        <v>90473.96187381518</v>
      </c>
      <c r="G90" s="5">
        <f t="shared" si="6"/>
        <v>-79.61330997351615</v>
      </c>
      <c r="H90" s="1">
        <f t="shared" si="7"/>
        <v>-980400.1089348169</v>
      </c>
    </row>
    <row r="91" spans="1:8" ht="12.75">
      <c r="A91" s="16">
        <f>DADOS!A90</f>
        <v>41156</v>
      </c>
      <c r="B91">
        <f>DADOS!C90</f>
        <v>334</v>
      </c>
      <c r="C91">
        <f>DADOS!B90</f>
        <v>7.78</v>
      </c>
      <c r="D91">
        <f>DADOS!J90</f>
        <v>7.39</v>
      </c>
      <c r="E91" s="5">
        <f t="shared" si="4"/>
        <v>90546.98637411206</v>
      </c>
      <c r="F91" s="5">
        <f t="shared" si="5"/>
        <v>90579.26553532315</v>
      </c>
      <c r="G91" s="5">
        <f t="shared" si="6"/>
        <v>32.27916121108865</v>
      </c>
      <c r="H91" s="1">
        <f t="shared" si="7"/>
        <v>-948120.9477237283</v>
      </c>
    </row>
    <row r="92" spans="1:8" ht="12.75">
      <c r="A92" s="16">
        <f>DADOS!A91</f>
        <v>41157</v>
      </c>
      <c r="B92">
        <f>DADOS!C91</f>
        <v>333</v>
      </c>
      <c r="C92">
        <f>DADOS!B91</f>
        <v>7.79</v>
      </c>
      <c r="D92">
        <f>DADOS!J91</f>
        <v>7.39</v>
      </c>
      <c r="E92" s="5">
        <f t="shared" si="4"/>
        <v>90562.80728102388</v>
      </c>
      <c r="F92" s="5">
        <f t="shared" si="5"/>
        <v>90572.60792616606</v>
      </c>
      <c r="G92" s="5">
        <f t="shared" si="6"/>
        <v>9.800645142182475</v>
      </c>
      <c r="H92" s="1">
        <f t="shared" si="7"/>
        <v>-938320.3025815458</v>
      </c>
    </row>
    <row r="93" spans="1:8" ht="12.75">
      <c r="A93" s="16">
        <f>DADOS!A92</f>
        <v>41158</v>
      </c>
      <c r="B93">
        <f>DADOS!C92</f>
        <v>332</v>
      </c>
      <c r="C93">
        <f>DADOS!B92</f>
        <v>7.82</v>
      </c>
      <c r="D93">
        <f>DADOS!J92</f>
        <v>7.39</v>
      </c>
      <c r="E93" s="5">
        <f t="shared" si="4"/>
        <v>90556.56357431912</v>
      </c>
      <c r="F93" s="5">
        <f t="shared" si="5"/>
        <v>90588.43330982754</v>
      </c>
      <c r="G93" s="5">
        <f t="shared" si="6"/>
        <v>31.869735508415033</v>
      </c>
      <c r="H93" s="1">
        <f t="shared" si="7"/>
        <v>-906450.5670731307</v>
      </c>
    </row>
    <row r="94" spans="1:8" ht="12.75">
      <c r="A94" s="16">
        <f>DADOS!A93</f>
        <v>41162</v>
      </c>
      <c r="B94">
        <f>DADOS!C93</f>
        <v>331</v>
      </c>
      <c r="C94">
        <f>DADOS!B93</f>
        <v>7.8100000000000005</v>
      </c>
      <c r="D94">
        <f>DADOS!J93</f>
        <v>7.38</v>
      </c>
      <c r="E94" s="5">
        <f t="shared" si="4"/>
        <v>90594.66058246834</v>
      </c>
      <c r="F94" s="5">
        <f t="shared" si="5"/>
        <v>90582.18783637755</v>
      </c>
      <c r="G94" s="5">
        <f t="shared" si="6"/>
        <v>-12.47274609078886</v>
      </c>
      <c r="H94" s="1">
        <f t="shared" si="7"/>
        <v>-918923.3131639196</v>
      </c>
    </row>
    <row r="95" spans="1:8" ht="12.75">
      <c r="A95" s="16">
        <f>DADOS!A94</f>
        <v>41163</v>
      </c>
      <c r="B95">
        <f>DADOS!C94</f>
        <v>330</v>
      </c>
      <c r="C95">
        <f>DADOS!B94</f>
        <v>7.79</v>
      </c>
      <c r="D95">
        <f>DADOS!J94</f>
        <v>7.37</v>
      </c>
      <c r="E95" s="5">
        <f t="shared" si="4"/>
        <v>90643.71890594142</v>
      </c>
      <c r="F95" s="5">
        <f t="shared" si="5"/>
        <v>90620.26213722993</v>
      </c>
      <c r="G95" s="5">
        <f t="shared" si="6"/>
        <v>-23.45676871149044</v>
      </c>
      <c r="H95" s="1">
        <f t="shared" si="7"/>
        <v>-942380.08187541</v>
      </c>
    </row>
    <row r="96" spans="1:8" ht="12.75">
      <c r="A96" s="16">
        <f>DADOS!A95</f>
        <v>41164</v>
      </c>
      <c r="B96">
        <f>DADOS!C95</f>
        <v>329</v>
      </c>
      <c r="C96">
        <f>DADOS!B95</f>
        <v>7.78</v>
      </c>
      <c r="D96">
        <f>DADOS!J95</f>
        <v>7.36</v>
      </c>
      <c r="E96" s="5">
        <f t="shared" si="4"/>
        <v>90681.6887449422</v>
      </c>
      <c r="F96" s="5">
        <f t="shared" si="5"/>
        <v>90669.30081568973</v>
      </c>
      <c r="G96" s="5">
        <f t="shared" si="6"/>
        <v>-12.387929252479807</v>
      </c>
      <c r="H96" s="1">
        <f t="shared" si="7"/>
        <v>-954768.0111278899</v>
      </c>
    </row>
    <row r="97" spans="1:8" ht="12.75">
      <c r="A97" s="16">
        <f>DADOS!A96</f>
        <v>41165</v>
      </c>
      <c r="B97">
        <f>DADOS!C96</f>
        <v>328</v>
      </c>
      <c r="C97">
        <f>DADOS!B96</f>
        <v>7.77</v>
      </c>
      <c r="D97">
        <f>DADOS!J96</f>
        <v>7.36</v>
      </c>
      <c r="E97" s="5">
        <f t="shared" si="4"/>
        <v>90719.6087062623</v>
      </c>
      <c r="F97" s="5">
        <f t="shared" si="5"/>
        <v>90707.24784494944</v>
      </c>
      <c r="G97" s="5">
        <f t="shared" si="6"/>
        <v>-12.360861312859925</v>
      </c>
      <c r="H97" s="1">
        <f t="shared" si="7"/>
        <v>-967128.8724407498</v>
      </c>
    </row>
    <row r="98" spans="1:8" ht="12.75">
      <c r="A98" s="16">
        <f>DADOS!A97</f>
        <v>41166</v>
      </c>
      <c r="B98">
        <f>DADOS!C97</f>
        <v>327</v>
      </c>
      <c r="C98">
        <f>DADOS!B97</f>
        <v>7.78</v>
      </c>
      <c r="D98">
        <f>DADOS!J97</f>
        <v>7.35</v>
      </c>
      <c r="E98" s="5">
        <f t="shared" si="4"/>
        <v>90735.62578584599</v>
      </c>
      <c r="F98" s="5">
        <f t="shared" si="5"/>
        <v>90745.1784942055</v>
      </c>
      <c r="G98" s="5">
        <f t="shared" si="6"/>
        <v>9.55270835950796</v>
      </c>
      <c r="H98" s="1">
        <f t="shared" si="7"/>
        <v>-957576.1640812418</v>
      </c>
    </row>
    <row r="99" spans="1:8" ht="12.75">
      <c r="A99" s="16">
        <f>DADOS!A98</f>
        <v>41169</v>
      </c>
      <c r="B99">
        <f>DADOS!C98</f>
        <v>326</v>
      </c>
      <c r="C99">
        <f>DADOS!B98</f>
        <v>7.79</v>
      </c>
      <c r="D99">
        <f>DADOS!J98</f>
        <v>7.34</v>
      </c>
      <c r="E99" s="5">
        <f t="shared" si="4"/>
        <v>90751.71353315082</v>
      </c>
      <c r="F99" s="5">
        <f t="shared" si="5"/>
        <v>90761.16653945895</v>
      </c>
      <c r="G99" s="5">
        <f t="shared" si="6"/>
        <v>9.453006308132899</v>
      </c>
      <c r="H99" s="1">
        <f t="shared" si="7"/>
        <v>-948123.1577731089</v>
      </c>
    </row>
    <row r="100" spans="1:8" ht="12.75">
      <c r="A100" s="16">
        <f>DADOS!A99</f>
        <v>41170</v>
      </c>
      <c r="B100">
        <f>DADOS!C99</f>
        <v>325</v>
      </c>
      <c r="C100">
        <f>DADOS!B99</f>
        <v>7.82</v>
      </c>
      <c r="D100">
        <f>DADOS!J99</f>
        <v>7.33</v>
      </c>
      <c r="E100" s="5">
        <f t="shared" si="4"/>
        <v>90746.15826828113</v>
      </c>
      <c r="F100" s="5">
        <f t="shared" si="5"/>
        <v>90777.22525734149</v>
      </c>
      <c r="G100" s="5">
        <f t="shared" si="6"/>
        <v>31.066989060360356</v>
      </c>
      <c r="H100" s="1">
        <f t="shared" si="7"/>
        <v>-917056.1687127486</v>
      </c>
    </row>
    <row r="101" spans="1:8" ht="12.75">
      <c r="A101" s="16">
        <f>DADOS!A100</f>
        <v>41171</v>
      </c>
      <c r="B101">
        <f>DADOS!C100</f>
        <v>324</v>
      </c>
      <c r="C101">
        <f>DADOS!B100</f>
        <v>7.84</v>
      </c>
      <c r="D101">
        <f>DADOS!J100</f>
        <v>7.33</v>
      </c>
      <c r="E101" s="5">
        <f t="shared" si="4"/>
        <v>90751.63143154672</v>
      </c>
      <c r="F101" s="5">
        <f t="shared" si="5"/>
        <v>90771.63487185218</v>
      </c>
      <c r="G101" s="5">
        <f t="shared" si="6"/>
        <v>20.003440305459662</v>
      </c>
      <c r="H101" s="1">
        <f t="shared" si="7"/>
        <v>-897052.7284072889</v>
      </c>
    </row>
    <row r="102" spans="1:8" ht="12.75">
      <c r="A102" s="16">
        <f>DADOS!A101</f>
        <v>41172</v>
      </c>
      <c r="B102">
        <f>DADOS!C101</f>
        <v>323</v>
      </c>
      <c r="C102">
        <f>DADOS!B101</f>
        <v>7.8</v>
      </c>
      <c r="D102">
        <f>DADOS!J101</f>
        <v>7.35</v>
      </c>
      <c r="E102" s="5">
        <f t="shared" si="4"/>
        <v>90821.99402074936</v>
      </c>
      <c r="F102" s="5">
        <f t="shared" si="5"/>
        <v>90777.1095716854</v>
      </c>
      <c r="G102" s="5">
        <f t="shared" si="6"/>
        <v>-44.884449063960346</v>
      </c>
      <c r="H102" s="1">
        <f t="shared" si="7"/>
        <v>-941937.1774712492</v>
      </c>
    </row>
    <row r="103" spans="1:8" ht="12.75">
      <c r="A103" s="16">
        <f>DADOS!A102</f>
        <v>41173</v>
      </c>
      <c r="B103">
        <f>DADOS!C102</f>
        <v>322</v>
      </c>
      <c r="C103">
        <f>DADOS!B102</f>
        <v>7.78</v>
      </c>
      <c r="D103">
        <f>DADOS!J102</f>
        <v>7.35</v>
      </c>
      <c r="E103" s="5">
        <f t="shared" si="4"/>
        <v>90870.60878640231</v>
      </c>
      <c r="F103" s="5">
        <f t="shared" si="5"/>
        <v>90847.55908575917</v>
      </c>
      <c r="G103" s="5">
        <f t="shared" si="6"/>
        <v>-23.04970064313966</v>
      </c>
      <c r="H103" s="1">
        <f t="shared" si="7"/>
        <v>-964986.8781143889</v>
      </c>
    </row>
    <row r="104" spans="1:8" ht="12.75">
      <c r="A104" s="16">
        <f>DADOS!A103</f>
        <v>41176</v>
      </c>
      <c r="B104">
        <f>DADOS!C103</f>
        <v>321</v>
      </c>
      <c r="C104">
        <f>DADOS!B103</f>
        <v>7.76</v>
      </c>
      <c r="D104">
        <f>DADOS!J103</f>
        <v>7.35</v>
      </c>
      <c r="E104" s="5">
        <f t="shared" si="4"/>
        <v>90919.11967581595</v>
      </c>
      <c r="F104" s="5">
        <f t="shared" si="5"/>
        <v>90896.18753575873</v>
      </c>
      <c r="G104" s="5">
        <f t="shared" si="6"/>
        <v>-22.93214005722257</v>
      </c>
      <c r="H104" s="1">
        <f t="shared" si="7"/>
        <v>-987919.0181716115</v>
      </c>
    </row>
    <row r="105" spans="1:8" ht="12.75">
      <c r="A105" s="16">
        <f>DADOS!A104</f>
        <v>41177</v>
      </c>
      <c r="B105">
        <f>DADOS!C104</f>
        <v>320</v>
      </c>
      <c r="C105">
        <f>DADOS!B104</f>
        <v>7.73</v>
      </c>
      <c r="D105">
        <f>DADOS!J104</f>
        <v>7.38</v>
      </c>
      <c r="E105" s="5">
        <f t="shared" si="4"/>
        <v>90978.24917010345</v>
      </c>
      <c r="F105" s="5">
        <f t="shared" si="5"/>
        <v>90944.7120802793</v>
      </c>
      <c r="G105" s="5">
        <f t="shared" si="6"/>
        <v>-33.53708982413809</v>
      </c>
      <c r="H105" s="1">
        <f t="shared" si="7"/>
        <v>-1021456.1079957496</v>
      </c>
    </row>
    <row r="106" spans="1:8" ht="12.75">
      <c r="A106" s="16">
        <f>DADOS!A105</f>
        <v>41178</v>
      </c>
      <c r="B106">
        <f>DADOS!C105</f>
        <v>319</v>
      </c>
      <c r="C106">
        <f>DADOS!B105</f>
        <v>7.73</v>
      </c>
      <c r="D106">
        <f>DADOS!J105</f>
        <v>7.37</v>
      </c>
      <c r="E106" s="5">
        <f t="shared" si="4"/>
        <v>91005.13429402397</v>
      </c>
      <c r="F106" s="5">
        <f t="shared" si="5"/>
        <v>91003.95912489844</v>
      </c>
      <c r="G106" s="5">
        <f t="shared" si="6"/>
        <v>-1.175169125534012</v>
      </c>
      <c r="H106" s="1">
        <f t="shared" si="7"/>
        <v>-1022631.2771212836</v>
      </c>
    </row>
    <row r="107" spans="1:8" ht="12.75">
      <c r="A107" s="16">
        <f>DADOS!A106</f>
        <v>41179</v>
      </c>
      <c r="B107">
        <f>DADOS!C106</f>
        <v>318</v>
      </c>
      <c r="C107">
        <f>DADOS!B106</f>
        <v>7.74</v>
      </c>
      <c r="D107">
        <f>DADOS!J106</f>
        <v>7.36</v>
      </c>
      <c r="E107" s="5">
        <f t="shared" si="4"/>
        <v>91021.36536609942</v>
      </c>
      <c r="F107" s="5">
        <f t="shared" si="5"/>
        <v>91030.81820417508</v>
      </c>
      <c r="G107" s="5">
        <f t="shared" si="6"/>
        <v>9.452838075667387</v>
      </c>
      <c r="H107" s="1">
        <f t="shared" si="7"/>
        <v>-1013178.4390456162</v>
      </c>
    </row>
    <row r="108" spans="1:8" ht="12.75">
      <c r="A108" s="16">
        <f>DADOS!A107</f>
        <v>41180</v>
      </c>
      <c r="B108">
        <f>DADOS!C107</f>
        <v>317</v>
      </c>
      <c r="C108">
        <f>DADOS!B107</f>
        <v>7.71</v>
      </c>
      <c r="D108">
        <f>DADOS!J107</f>
        <v>7.36</v>
      </c>
      <c r="E108" s="5">
        <f t="shared" si="4"/>
        <v>91080.19828751254</v>
      </c>
      <c r="F108" s="5">
        <f t="shared" si="5"/>
        <v>91047.02020570799</v>
      </c>
      <c r="G108" s="5">
        <f t="shared" si="6"/>
        <v>-33.178081804551766</v>
      </c>
      <c r="H108" s="1">
        <f t="shared" si="7"/>
        <v>-1046356.520850168</v>
      </c>
    </row>
    <row r="109" spans="1:8" ht="12.75">
      <c r="A109" s="16">
        <f>DADOS!A108</f>
        <v>41183</v>
      </c>
      <c r="B109">
        <f>DADOS!C108</f>
        <v>316</v>
      </c>
      <c r="C109">
        <f>DADOS!B108</f>
        <v>7.67</v>
      </c>
      <c r="D109">
        <f>DADOS!J108</f>
        <v>7.36</v>
      </c>
      <c r="E109" s="5">
        <f t="shared" si="4"/>
        <v>91149.49119209682</v>
      </c>
      <c r="F109" s="5">
        <f t="shared" si="5"/>
        <v>91105.86970948237</v>
      </c>
      <c r="G109" s="5">
        <f t="shared" si="6"/>
        <v>-43.62148261444236</v>
      </c>
      <c r="H109" s="1">
        <f t="shared" si="7"/>
        <v>-1089978.0034646103</v>
      </c>
    </row>
    <row r="110" spans="1:8" ht="12.75">
      <c r="A110" s="16">
        <f>DADOS!A109</f>
        <v>41184</v>
      </c>
      <c r="B110">
        <f>DADOS!C109</f>
        <v>315</v>
      </c>
      <c r="C110">
        <f>DADOS!B109</f>
        <v>7.62</v>
      </c>
      <c r="D110">
        <f>DADOS!J109</f>
        <v>7.35</v>
      </c>
      <c r="E110" s="5">
        <f t="shared" si="4"/>
        <v>91229.17875481541</v>
      </c>
      <c r="F110" s="5">
        <f t="shared" si="5"/>
        <v>91175.18214462792</v>
      </c>
      <c r="G110" s="5">
        <f t="shared" si="6"/>
        <v>-53.99661018748884</v>
      </c>
      <c r="H110" s="1">
        <f t="shared" si="7"/>
        <v>-1143974.6136520992</v>
      </c>
    </row>
    <row r="111" spans="1:8" ht="12.75">
      <c r="A111" s="16">
        <f>DADOS!A110</f>
        <v>41185</v>
      </c>
      <c r="B111">
        <f>DADOS!C110</f>
        <v>314</v>
      </c>
      <c r="C111">
        <f>DADOS!B110</f>
        <v>7.61</v>
      </c>
      <c r="D111">
        <f>DADOS!J110</f>
        <v>7.36</v>
      </c>
      <c r="E111" s="5">
        <f t="shared" si="4"/>
        <v>91266.33484327872</v>
      </c>
      <c r="F111" s="5">
        <f t="shared" si="5"/>
        <v>91254.8584363816</v>
      </c>
      <c r="G111" s="5">
        <f t="shared" si="6"/>
        <v>-11.47640689711261</v>
      </c>
      <c r="H111" s="1">
        <f t="shared" si="7"/>
        <v>-1155451.0205492117</v>
      </c>
    </row>
    <row r="112" spans="1:8" ht="12.75">
      <c r="A112" s="16">
        <f>DADOS!A111</f>
        <v>41186</v>
      </c>
      <c r="B112">
        <f>DADOS!C111</f>
        <v>313</v>
      </c>
      <c r="C112">
        <f>DADOS!B111</f>
        <v>7.59</v>
      </c>
      <c r="D112">
        <f>DADOS!J111</f>
        <v>7.36</v>
      </c>
      <c r="E112" s="5">
        <f t="shared" si="4"/>
        <v>91313.98027418873</v>
      </c>
      <c r="F112" s="5">
        <f t="shared" si="5"/>
        <v>91292.05872879339</v>
      </c>
      <c r="G112" s="5">
        <f t="shared" si="6"/>
        <v>-21.92154539533658</v>
      </c>
      <c r="H112" s="1">
        <f t="shared" si="7"/>
        <v>-1177372.5659445482</v>
      </c>
    </row>
    <row r="113" spans="1:8" ht="12.75">
      <c r="A113" s="16">
        <f>DADOS!A112</f>
        <v>41187</v>
      </c>
      <c r="B113">
        <f>DADOS!C112</f>
        <v>312</v>
      </c>
      <c r="C113">
        <f>DADOS!B112</f>
        <v>7.39</v>
      </c>
      <c r="D113">
        <f>DADOS!J112</f>
        <v>7.36</v>
      </c>
      <c r="E113" s="5">
        <f t="shared" si="4"/>
        <v>91551.1521565282</v>
      </c>
      <c r="F113" s="5">
        <f t="shared" si="5"/>
        <v>91339.71758881296</v>
      </c>
      <c r="G113" s="5">
        <f t="shared" si="6"/>
        <v>-211.43456771524507</v>
      </c>
      <c r="H113" s="1">
        <f t="shared" si="7"/>
        <v>-1388807.1336597933</v>
      </c>
    </row>
    <row r="114" spans="1:8" ht="12.75">
      <c r="A114" s="16">
        <f>DADOS!A113</f>
        <v>41190</v>
      </c>
      <c r="B114">
        <f>DADOS!C113</f>
        <v>311</v>
      </c>
      <c r="C114">
        <f>DADOS!B113</f>
        <v>7.45</v>
      </c>
      <c r="D114">
        <f>DADOS!J113</f>
        <v>7.36</v>
      </c>
      <c r="E114" s="5">
        <f t="shared" si="4"/>
        <v>91513.95296770954</v>
      </c>
      <c r="F114" s="5">
        <f t="shared" si="5"/>
        <v>91576.95631926636</v>
      </c>
      <c r="G114" s="5">
        <f t="shared" si="6"/>
        <v>63.003351556821144</v>
      </c>
      <c r="H114" s="1">
        <f t="shared" si="7"/>
        <v>-1325803.7821029723</v>
      </c>
    </row>
    <row r="115" spans="1:8" ht="12.75">
      <c r="A115" s="16">
        <f>DADOS!A114</f>
        <v>41191</v>
      </c>
      <c r="B115">
        <f>DADOS!C114</f>
        <v>310</v>
      </c>
      <c r="C115">
        <f>DADOS!B114</f>
        <v>7.42</v>
      </c>
      <c r="D115">
        <f>DADOS!J114</f>
        <v>7.35</v>
      </c>
      <c r="E115" s="5">
        <f t="shared" si="4"/>
        <v>91571.50115826476</v>
      </c>
      <c r="F115" s="5">
        <f t="shared" si="5"/>
        <v>91539.74664566516</v>
      </c>
      <c r="G115" s="5">
        <f t="shared" si="6"/>
        <v>-31.754512599596637</v>
      </c>
      <c r="H115" s="1">
        <f t="shared" si="7"/>
        <v>-1357558.294702569</v>
      </c>
    </row>
    <row r="116" spans="1:8" ht="12.75">
      <c r="A116" s="16">
        <f>DADOS!A115</f>
        <v>41192</v>
      </c>
      <c r="B116">
        <f>DADOS!C115</f>
        <v>309</v>
      </c>
      <c r="C116">
        <f>DADOS!B115</f>
        <v>7.45</v>
      </c>
      <c r="D116">
        <f>DADOS!J115</f>
        <v>7.33</v>
      </c>
      <c r="E116" s="5">
        <f t="shared" si="4"/>
        <v>91566.15654285536</v>
      </c>
      <c r="F116" s="5">
        <f t="shared" si="5"/>
        <v>91597.27719858846</v>
      </c>
      <c r="G116" s="5">
        <f t="shared" si="6"/>
        <v>31.120655733102467</v>
      </c>
      <c r="H116" s="1">
        <f t="shared" si="7"/>
        <v>-1326437.6389694666</v>
      </c>
    </row>
    <row r="117" spans="1:8" ht="12.75">
      <c r="A117" s="16">
        <f>DADOS!A116</f>
        <v>41193</v>
      </c>
      <c r="B117">
        <f>DADOS!C116</f>
        <v>308</v>
      </c>
      <c r="C117">
        <f>DADOS!B116</f>
        <v>7.45</v>
      </c>
      <c r="D117">
        <f>DADOS!J116</f>
        <v>7.04</v>
      </c>
      <c r="E117" s="5">
        <f t="shared" si="4"/>
        <v>91592.26949657066</v>
      </c>
      <c r="F117" s="5">
        <f t="shared" si="5"/>
        <v>91591.86335750496</v>
      </c>
      <c r="G117" s="5">
        <f t="shared" si="6"/>
        <v>-0.4061390657006996</v>
      </c>
      <c r="H117" s="1">
        <f t="shared" si="7"/>
        <v>-1326843.7780351671</v>
      </c>
    </row>
    <row r="118" spans="1:8" ht="12.75">
      <c r="A118" s="16">
        <f>DADOS!A117</f>
        <v>41197</v>
      </c>
      <c r="B118">
        <f>DADOS!C117</f>
        <v>307</v>
      </c>
      <c r="C118">
        <f>DADOS!B117</f>
        <v>7.46</v>
      </c>
      <c r="D118">
        <f>DADOS!J117</f>
        <v>7.04</v>
      </c>
      <c r="E118" s="5">
        <f t="shared" si="4"/>
        <v>91608.0033967862</v>
      </c>
      <c r="F118" s="5">
        <f t="shared" si="5"/>
        <v>91616.99998889906</v>
      </c>
      <c r="G118" s="5">
        <f t="shared" si="6"/>
        <v>8.996592112860526</v>
      </c>
      <c r="H118" s="1">
        <f t="shared" si="7"/>
        <v>-1317847.1859223065</v>
      </c>
    </row>
    <row r="119" spans="1:8" ht="12.75">
      <c r="A119" s="16">
        <f>DADOS!A118</f>
        <v>41198</v>
      </c>
      <c r="B119">
        <f>DADOS!C118</f>
        <v>306</v>
      </c>
      <c r="C119">
        <f>DADOS!B118</f>
        <v>7.39</v>
      </c>
      <c r="D119">
        <f>DADOS!J118</f>
        <v>7.05</v>
      </c>
      <c r="E119" s="5">
        <f t="shared" si="4"/>
        <v>91706.69632366479</v>
      </c>
      <c r="F119" s="5">
        <f t="shared" si="5"/>
        <v>91632.73813736721</v>
      </c>
      <c r="G119" s="5">
        <f t="shared" si="6"/>
        <v>-73.9581862975756</v>
      </c>
      <c r="H119" s="1">
        <f t="shared" si="7"/>
        <v>-1391805.372219882</v>
      </c>
    </row>
    <row r="120" spans="1:8" ht="12.75">
      <c r="A120" s="16">
        <f>DADOS!A119</f>
        <v>41199</v>
      </c>
      <c r="B120">
        <f>DADOS!C119</f>
        <v>305</v>
      </c>
      <c r="C120">
        <f>DADOS!B119</f>
        <v>7.43</v>
      </c>
      <c r="D120">
        <f>DADOS!J119</f>
        <v>7.06</v>
      </c>
      <c r="E120" s="5">
        <f t="shared" si="4"/>
        <v>91691.30887276292</v>
      </c>
      <c r="F120" s="5">
        <f t="shared" si="5"/>
        <v>91731.49171763938</v>
      </c>
      <c r="G120" s="5">
        <f t="shared" si="6"/>
        <v>40.18284487645724</v>
      </c>
      <c r="H120" s="1">
        <f t="shared" si="7"/>
        <v>-1351622.5273434247</v>
      </c>
    </row>
    <row r="121" spans="1:8" ht="12.75">
      <c r="A121" s="16">
        <f>DADOS!A120</f>
        <v>41200</v>
      </c>
      <c r="B121">
        <f>DADOS!C120</f>
        <v>304</v>
      </c>
      <c r="C121">
        <f>DADOS!B120</f>
        <v>7.41</v>
      </c>
      <c r="D121">
        <f>DADOS!J120</f>
        <v>7.08</v>
      </c>
      <c r="E121" s="5">
        <f t="shared" si="4"/>
        <v>91737.99219208876</v>
      </c>
      <c r="F121" s="5">
        <f t="shared" si="5"/>
        <v>91716.13410313227</v>
      </c>
      <c r="G121" s="5">
        <f t="shared" si="6"/>
        <v>-21.858088956490974</v>
      </c>
      <c r="H121" s="1">
        <f t="shared" si="7"/>
        <v>-1373480.6162999156</v>
      </c>
    </row>
    <row r="122" spans="1:8" ht="12.75">
      <c r="A122" s="16">
        <f>DADOS!A121</f>
        <v>41201</v>
      </c>
      <c r="B122">
        <f>DADOS!C121</f>
        <v>303</v>
      </c>
      <c r="C122">
        <f>DADOS!B121</f>
        <v>7.42</v>
      </c>
      <c r="D122">
        <f>DADOS!J121</f>
        <v>7.08</v>
      </c>
      <c r="E122" s="5">
        <f t="shared" si="4"/>
        <v>91753.74727002895</v>
      </c>
      <c r="F122" s="5">
        <f t="shared" si="5"/>
        <v>91762.89808061415</v>
      </c>
      <c r="G122" s="5">
        <f t="shared" si="6"/>
        <v>9.150810585197178</v>
      </c>
      <c r="H122" s="1">
        <f t="shared" si="7"/>
        <v>-1364329.8057147185</v>
      </c>
    </row>
    <row r="123" spans="1:8" ht="12.75">
      <c r="A123" s="16">
        <f>DADOS!A122</f>
        <v>41204</v>
      </c>
      <c r="B123">
        <f>DADOS!C122</f>
        <v>302</v>
      </c>
      <c r="C123">
        <f>DADOS!B122</f>
        <v>7.4</v>
      </c>
      <c r="D123">
        <f>DADOS!J122</f>
        <v>7.12</v>
      </c>
      <c r="E123" s="5">
        <f t="shared" si="4"/>
        <v>91800.29472545128</v>
      </c>
      <c r="F123" s="5">
        <f t="shared" si="5"/>
        <v>91778.65743589032</v>
      </c>
      <c r="G123" s="5">
        <f t="shared" si="6"/>
        <v>-21.637289560967474</v>
      </c>
      <c r="H123" s="1">
        <f t="shared" si="7"/>
        <v>-1385967.0952756861</v>
      </c>
    </row>
    <row r="124" spans="1:8" ht="12.75">
      <c r="A124" s="16">
        <f>DADOS!A123</f>
        <v>41205</v>
      </c>
      <c r="B124">
        <f>DADOS!C123</f>
        <v>301</v>
      </c>
      <c r="C124">
        <f>DADOS!B123</f>
        <v>7.39</v>
      </c>
      <c r="D124">
        <f>DADOS!J123</f>
        <v>7.12</v>
      </c>
      <c r="E124" s="5">
        <f aca="true" t="shared" si="8" ref="E124:E152">100000/(1+C124/100)^(B124/252)</f>
        <v>91836.51831485592</v>
      </c>
      <c r="F124" s="5">
        <f aca="true" t="shared" si="9" ref="F124:F152">(1+D123/100)^(1/252)*E123</f>
        <v>91825.35362034987</v>
      </c>
      <c r="G124" s="5">
        <f aca="true" t="shared" si="10" ref="G124:G152">-E124+F124</f>
        <v>-11.164694506049273</v>
      </c>
      <c r="H124" s="1">
        <f aca="true" t="shared" si="11" ref="H124:H152">H123+G124*$K$2</f>
        <v>-1397131.7897817353</v>
      </c>
    </row>
    <row r="125" spans="1:8" ht="12.75">
      <c r="A125" s="16">
        <f>DADOS!A124</f>
        <v>41206</v>
      </c>
      <c r="B125">
        <f>DADOS!C124</f>
        <v>300</v>
      </c>
      <c r="C125">
        <f>DADOS!B124</f>
        <v>7.36</v>
      </c>
      <c r="D125">
        <f>DADOS!J124</f>
        <v>7.13</v>
      </c>
      <c r="E125" s="5">
        <f t="shared" si="8"/>
        <v>91893.06447363943</v>
      </c>
      <c r="F125" s="5">
        <f t="shared" si="9"/>
        <v>91861.58709777416</v>
      </c>
      <c r="G125" s="5">
        <f t="shared" si="10"/>
        <v>-31.477375865273643</v>
      </c>
      <c r="H125" s="1">
        <f t="shared" si="11"/>
        <v>-1428609.165647009</v>
      </c>
    </row>
    <row r="126" spans="1:8" ht="12.75">
      <c r="A126" s="16">
        <f>DADOS!A125</f>
        <v>41207</v>
      </c>
      <c r="B126">
        <f>DADOS!C125</f>
        <v>299</v>
      </c>
      <c r="C126">
        <f>DADOS!B125</f>
        <v>7.34</v>
      </c>
      <c r="D126">
        <f>DADOS!J125</f>
        <v>7.11</v>
      </c>
      <c r="E126" s="5">
        <f t="shared" si="8"/>
        <v>91939.28631717211</v>
      </c>
      <c r="F126" s="5">
        <f t="shared" si="9"/>
        <v>91918.1827415064</v>
      </c>
      <c r="G126" s="5">
        <f t="shared" si="10"/>
        <v>-21.103575665707467</v>
      </c>
      <c r="H126" s="1">
        <f t="shared" si="11"/>
        <v>-1449712.7413127164</v>
      </c>
    </row>
    <row r="127" spans="1:8" ht="12.75">
      <c r="A127" s="16">
        <f>DADOS!A126</f>
        <v>41208</v>
      </c>
      <c r="B127">
        <f>DADOS!C126</f>
        <v>298</v>
      </c>
      <c r="C127">
        <f>DADOS!B126</f>
        <v>7.33</v>
      </c>
      <c r="D127">
        <f>DADOS!J126</f>
        <v>7.09</v>
      </c>
      <c r="E127" s="5">
        <f t="shared" si="8"/>
        <v>91975.26450030277</v>
      </c>
      <c r="F127" s="5">
        <f t="shared" si="9"/>
        <v>91964.34908312603</v>
      </c>
      <c r="G127" s="5">
        <f t="shared" si="10"/>
        <v>-10.915417176744086</v>
      </c>
      <c r="H127" s="1">
        <f t="shared" si="11"/>
        <v>-1460628.1584894606</v>
      </c>
    </row>
    <row r="128" spans="1:8" ht="12.75">
      <c r="A128" s="16">
        <f>DADOS!A127</f>
        <v>41211</v>
      </c>
      <c r="B128">
        <f>DADOS!C127</f>
        <v>297</v>
      </c>
      <c r="C128">
        <f>DADOS!B127</f>
        <v>7.34</v>
      </c>
      <c r="D128">
        <f>DADOS!J127</f>
        <v>7.08</v>
      </c>
      <c r="E128" s="5">
        <f t="shared" si="8"/>
        <v>91990.984721665</v>
      </c>
      <c r="F128" s="5">
        <f t="shared" si="9"/>
        <v>92000.26889831196</v>
      </c>
      <c r="G128" s="5">
        <f t="shared" si="10"/>
        <v>9.284176646964625</v>
      </c>
      <c r="H128" s="1">
        <f t="shared" si="11"/>
        <v>-1451343.981842496</v>
      </c>
    </row>
    <row r="129" spans="1:8" ht="12.75">
      <c r="A129" s="16">
        <f>DADOS!A128</f>
        <v>41212</v>
      </c>
      <c r="B129">
        <f>DADOS!C128</f>
        <v>296</v>
      </c>
      <c r="C129">
        <f>DADOS!B128</f>
        <v>7.34</v>
      </c>
      <c r="D129">
        <f>DADOS!J128</f>
        <v>7.07</v>
      </c>
      <c r="E129" s="5">
        <f t="shared" si="8"/>
        <v>92016.84482434383</v>
      </c>
      <c r="F129" s="5">
        <f t="shared" si="9"/>
        <v>92015.9592949696</v>
      </c>
      <c r="G129" s="5">
        <f t="shared" si="10"/>
        <v>-0.8855293742381036</v>
      </c>
      <c r="H129" s="1">
        <f t="shared" si="11"/>
        <v>-1452229.511216734</v>
      </c>
    </row>
    <row r="130" spans="1:8" ht="12.75">
      <c r="A130" s="16">
        <f>DADOS!A129</f>
        <v>41213</v>
      </c>
      <c r="B130">
        <f>DADOS!C129</f>
        <v>295</v>
      </c>
      <c r="C130">
        <f>DADOS!B129</f>
        <v>7.34</v>
      </c>
      <c r="D130">
        <f>DADOS!J129</f>
        <v>7.09</v>
      </c>
      <c r="E130" s="5">
        <f t="shared" si="8"/>
        <v>92042.71219670145</v>
      </c>
      <c r="F130" s="5">
        <f t="shared" si="9"/>
        <v>92041.79230722832</v>
      </c>
      <c r="G130" s="5">
        <f t="shared" si="10"/>
        <v>-0.9198894731380278</v>
      </c>
      <c r="H130" s="1">
        <f t="shared" si="11"/>
        <v>-1453149.400689872</v>
      </c>
    </row>
    <row r="131" spans="1:8" ht="12.75">
      <c r="A131" s="16">
        <f>DADOS!A130</f>
        <v>41214</v>
      </c>
      <c r="B131">
        <f>DADOS!C130</f>
        <v>294</v>
      </c>
      <c r="C131">
        <f>DADOS!B130</f>
        <v>7.34</v>
      </c>
      <c r="D131">
        <f>DADOS!J130</f>
        <v>7.11</v>
      </c>
      <c r="E131" s="5">
        <f t="shared" si="8"/>
        <v>92068.58684078149</v>
      </c>
      <c r="F131" s="5">
        <f t="shared" si="9"/>
        <v>92067.73493104329</v>
      </c>
      <c r="G131" s="5">
        <f t="shared" si="10"/>
        <v>-0.851909738194081</v>
      </c>
      <c r="H131" s="1">
        <f t="shared" si="11"/>
        <v>-1454001.3104280662</v>
      </c>
    </row>
    <row r="132" spans="1:8" ht="12.75">
      <c r="A132" s="16">
        <f>DADOS!A131</f>
        <v>41218</v>
      </c>
      <c r="B132">
        <f>DADOS!C131</f>
        <v>293</v>
      </c>
      <c r="C132">
        <f>DADOS!B131</f>
        <v>7.32</v>
      </c>
      <c r="D132">
        <f>DADOS!J131</f>
        <v>7.12</v>
      </c>
      <c r="E132" s="5">
        <f t="shared" si="8"/>
        <v>92114.4239796263</v>
      </c>
      <c r="F132" s="5">
        <f t="shared" si="9"/>
        <v>92093.68485422198</v>
      </c>
      <c r="G132" s="5">
        <f t="shared" si="10"/>
        <v>-20.739125404317747</v>
      </c>
      <c r="H132" s="1">
        <f t="shared" si="11"/>
        <v>-1474740.435832384</v>
      </c>
    </row>
    <row r="133" spans="1:8" ht="12.75">
      <c r="A133" s="16">
        <f>DADOS!A132</f>
        <v>41219</v>
      </c>
      <c r="B133">
        <f>DADOS!C132</f>
        <v>292</v>
      </c>
      <c r="C133">
        <f>DADOS!B132</f>
        <v>7.33</v>
      </c>
      <c r="D133">
        <f>DADOS!J132</f>
        <v>7.12</v>
      </c>
      <c r="E133" s="5">
        <f t="shared" si="8"/>
        <v>92130.30330086334</v>
      </c>
      <c r="F133" s="5">
        <f t="shared" si="9"/>
        <v>92139.5686229638</v>
      </c>
      <c r="G133" s="5">
        <f t="shared" si="10"/>
        <v>9.265322100458434</v>
      </c>
      <c r="H133" s="1">
        <f t="shared" si="11"/>
        <v>-1465475.1137319256</v>
      </c>
    </row>
    <row r="134" spans="1:8" ht="12.75">
      <c r="A134" s="16">
        <f>DADOS!A133</f>
        <v>41220</v>
      </c>
      <c r="B134">
        <f>DADOS!C133</f>
        <v>291</v>
      </c>
      <c r="C134">
        <f>DADOS!B133</f>
        <v>7.33</v>
      </c>
      <c r="D134">
        <f>DADOS!J133</f>
        <v>7.13</v>
      </c>
      <c r="E134" s="5">
        <f t="shared" si="8"/>
        <v>92156.16849735065</v>
      </c>
      <c r="F134" s="5">
        <f t="shared" si="9"/>
        <v>92155.45227880828</v>
      </c>
      <c r="G134" s="5">
        <f t="shared" si="10"/>
        <v>-0.7162185423658229</v>
      </c>
      <c r="H134" s="1">
        <f t="shared" si="11"/>
        <v>-1466191.3322742914</v>
      </c>
    </row>
    <row r="135" spans="1:8" ht="12.75">
      <c r="A135" s="16">
        <f>DADOS!A134</f>
        <v>41221</v>
      </c>
      <c r="B135">
        <f>DADOS!C134</f>
        <v>290</v>
      </c>
      <c r="C135">
        <f>DADOS!B134</f>
        <v>7.34</v>
      </c>
      <c r="D135">
        <f>DADOS!J134</f>
        <v>7.09</v>
      </c>
      <c r="E135" s="5">
        <f t="shared" si="8"/>
        <v>92172.15817521824</v>
      </c>
      <c r="F135" s="5">
        <f t="shared" si="9"/>
        <v>92181.35868269455</v>
      </c>
      <c r="G135" s="5">
        <f t="shared" si="10"/>
        <v>9.20050747631467</v>
      </c>
      <c r="H135" s="1">
        <f t="shared" si="11"/>
        <v>-1456990.8247979768</v>
      </c>
    </row>
    <row r="136" spans="1:8" ht="12.75">
      <c r="A136" s="16">
        <f>DADOS!A135</f>
        <v>41222</v>
      </c>
      <c r="B136">
        <f>DADOS!C135</f>
        <v>289</v>
      </c>
      <c r="C136">
        <f>DADOS!B135</f>
        <v>7.35</v>
      </c>
      <c r="D136">
        <f>DADOS!J135</f>
        <v>7.09</v>
      </c>
      <c r="E136" s="5">
        <f t="shared" si="8"/>
        <v>92188.21971028903</v>
      </c>
      <c r="F136" s="5">
        <f t="shared" si="9"/>
        <v>92197.21610074745</v>
      </c>
      <c r="G136" s="5">
        <f t="shared" si="10"/>
        <v>8.99639045841468</v>
      </c>
      <c r="H136" s="1">
        <f t="shared" si="11"/>
        <v>-1447994.434339562</v>
      </c>
    </row>
    <row r="137" spans="1:8" ht="12.75">
      <c r="A137" s="16">
        <f>DADOS!A136</f>
        <v>41225</v>
      </c>
      <c r="B137">
        <f>DADOS!C136</f>
        <v>288</v>
      </c>
      <c r="C137">
        <f>DADOS!B136</f>
        <v>7.36</v>
      </c>
      <c r="D137">
        <f>DADOS!J136</f>
        <v>7.07</v>
      </c>
      <c r="E137" s="5">
        <f t="shared" si="8"/>
        <v>92204.35312946148</v>
      </c>
      <c r="F137" s="5">
        <f t="shared" si="9"/>
        <v>92213.28200230762</v>
      </c>
      <c r="G137" s="5">
        <f t="shared" si="10"/>
        <v>8.928872846139711</v>
      </c>
      <c r="H137" s="1">
        <f t="shared" si="11"/>
        <v>-1439065.5614934224</v>
      </c>
    </row>
    <row r="138" spans="1:8" ht="12.75">
      <c r="A138" s="16">
        <f>DADOS!A137</f>
        <v>41226</v>
      </c>
      <c r="B138">
        <f>DADOS!C137</f>
        <v>287</v>
      </c>
      <c r="C138">
        <f>DADOS!B137</f>
        <v>7.38</v>
      </c>
      <c r="D138">
        <f>DADOS!J137</f>
        <v>7.06</v>
      </c>
      <c r="E138" s="5">
        <f t="shared" si="8"/>
        <v>92210.77746798359</v>
      </c>
      <c r="F138" s="5">
        <f t="shared" si="9"/>
        <v>92229.35144934479</v>
      </c>
      <c r="G138" s="5">
        <f t="shared" si="10"/>
        <v>18.57398136120173</v>
      </c>
      <c r="H138" s="1">
        <f t="shared" si="11"/>
        <v>-1420491.5801322206</v>
      </c>
    </row>
    <row r="139" spans="1:8" ht="12.75">
      <c r="A139" s="16">
        <f>DADOS!A138</f>
        <v>41227</v>
      </c>
      <c r="B139">
        <f>DADOS!C138</f>
        <v>286</v>
      </c>
      <c r="C139">
        <f>DADOS!B138</f>
        <v>7.41</v>
      </c>
      <c r="D139">
        <f>DADOS!J138</f>
        <v>7.06</v>
      </c>
      <c r="E139" s="5">
        <f t="shared" si="8"/>
        <v>92207.59836265129</v>
      </c>
      <c r="F139" s="5">
        <f t="shared" si="9"/>
        <v>92235.74334339012</v>
      </c>
      <c r="G139" s="5">
        <f t="shared" si="10"/>
        <v>28.144980738827144</v>
      </c>
      <c r="H139" s="1">
        <f t="shared" si="11"/>
        <v>-1392346.5993933934</v>
      </c>
    </row>
    <row r="140" spans="1:8" ht="12.75">
      <c r="A140" s="16">
        <f>DADOS!A139</f>
        <v>41229</v>
      </c>
      <c r="B140">
        <f>DADOS!C139</f>
        <v>285</v>
      </c>
      <c r="C140">
        <f>DADOS!B139</f>
        <v>7.38</v>
      </c>
      <c r="D140">
        <f>DADOS!J139</f>
        <v>7.05</v>
      </c>
      <c r="E140" s="5">
        <f t="shared" si="8"/>
        <v>92262.90135298447</v>
      </c>
      <c r="F140" s="5">
        <f t="shared" si="9"/>
        <v>92232.56337732168</v>
      </c>
      <c r="G140" s="5">
        <f t="shared" si="10"/>
        <v>-30.33797566278372</v>
      </c>
      <c r="H140" s="1">
        <f t="shared" si="11"/>
        <v>-1422684.575056177</v>
      </c>
    </row>
    <row r="141" spans="1:8" ht="12.75">
      <c r="A141" s="16">
        <f>DADOS!A140</f>
        <v>41232</v>
      </c>
      <c r="B141">
        <f>DADOS!C140</f>
        <v>284</v>
      </c>
      <c r="C141">
        <f>DADOS!B140</f>
        <v>7.34</v>
      </c>
      <c r="D141">
        <f>DADOS!J140</f>
        <v>7.03</v>
      </c>
      <c r="E141" s="5">
        <f t="shared" si="8"/>
        <v>92327.7336763218</v>
      </c>
      <c r="F141" s="5">
        <f t="shared" si="9"/>
        <v>92287.84713208234</v>
      </c>
      <c r="G141" s="5">
        <f t="shared" si="10"/>
        <v>-39.88654423945991</v>
      </c>
      <c r="H141" s="1">
        <f t="shared" si="11"/>
        <v>-1462571.1192956371</v>
      </c>
    </row>
    <row r="142" spans="1:8" ht="12.75">
      <c r="A142" s="16">
        <f>DADOS!A141</f>
        <v>41234</v>
      </c>
      <c r="B142">
        <f>DADOS!C141</f>
        <v>282</v>
      </c>
      <c r="C142">
        <f>DADOS!B141</f>
        <v>7.36</v>
      </c>
      <c r="D142">
        <f>DADOS!J141</f>
        <v>6.99</v>
      </c>
      <c r="E142" s="5">
        <f t="shared" si="8"/>
        <v>92360.39266941276</v>
      </c>
      <c r="F142" s="5">
        <f t="shared" si="9"/>
        <v>92352.62850948151</v>
      </c>
      <c r="G142" s="5">
        <f t="shared" si="10"/>
        <v>-7.764159931248287</v>
      </c>
      <c r="H142" s="1">
        <f t="shared" si="11"/>
        <v>-1470335.2792268854</v>
      </c>
    </row>
    <row r="143" spans="1:8" ht="12.75">
      <c r="A143" s="16">
        <f>DADOS!A142</f>
        <v>41235</v>
      </c>
      <c r="B143">
        <f>DADOS!C142</f>
        <v>281</v>
      </c>
      <c r="C143">
        <f>DADOS!B142</f>
        <v>7.35</v>
      </c>
      <c r="D143">
        <f>DADOS!J142</f>
        <v>7.09</v>
      </c>
      <c r="E143" s="5">
        <f t="shared" si="8"/>
        <v>92396.02145062311</v>
      </c>
      <c r="F143" s="5">
        <f t="shared" si="9"/>
        <v>92385.15927166434</v>
      </c>
      <c r="G143" s="5">
        <f t="shared" si="10"/>
        <v>-10.862178958777804</v>
      </c>
      <c r="H143" s="1">
        <f t="shared" si="11"/>
        <v>-1481197.4581856632</v>
      </c>
    </row>
    <row r="144" spans="1:8" ht="12.75">
      <c r="A144" s="16">
        <f>DADOS!A143</f>
        <v>41236</v>
      </c>
      <c r="B144">
        <f>DADOS!C143</f>
        <v>280</v>
      </c>
      <c r="C144">
        <f>DADOS!B143</f>
        <v>7.33</v>
      </c>
      <c r="D144">
        <f>DADOS!J143</f>
        <v>7.12</v>
      </c>
      <c r="E144" s="5">
        <f t="shared" si="8"/>
        <v>92441.16536950007</v>
      </c>
      <c r="F144" s="5">
        <f t="shared" si="9"/>
        <v>92421.14023562871</v>
      </c>
      <c r="G144" s="5">
        <f t="shared" si="10"/>
        <v>-20.025133871356957</v>
      </c>
      <c r="H144" s="1">
        <f t="shared" si="11"/>
        <v>-1501222.5920570202</v>
      </c>
    </row>
    <row r="145" spans="1:8" ht="12.75">
      <c r="A145" s="16">
        <f>DADOS!A144</f>
        <v>41239</v>
      </c>
      <c r="B145">
        <f>DADOS!C144</f>
        <v>279</v>
      </c>
      <c r="C145">
        <f>DADOS!B144</f>
        <v>7.33</v>
      </c>
      <c r="D145">
        <f>DADOS!J144</f>
        <v>7.13</v>
      </c>
      <c r="E145" s="5">
        <f t="shared" si="8"/>
        <v>92467.11783921017</v>
      </c>
      <c r="F145" s="5">
        <f t="shared" si="9"/>
        <v>92466.39920403431</v>
      </c>
      <c r="G145" s="5">
        <f t="shared" si="10"/>
        <v>-0.7186351758573437</v>
      </c>
      <c r="H145" s="1">
        <f t="shared" si="11"/>
        <v>-1501941.2272328776</v>
      </c>
    </row>
    <row r="146" spans="1:8" ht="12.75">
      <c r="A146" s="16">
        <f>DADOS!A145</f>
        <v>41240</v>
      </c>
      <c r="B146">
        <f>DADOS!C145</f>
        <v>278</v>
      </c>
      <c r="C146">
        <f>DADOS!B145</f>
        <v>7.28</v>
      </c>
      <c r="D146">
        <f>DADOS!J145</f>
        <v>7.12</v>
      </c>
      <c r="E146" s="5">
        <f t="shared" si="8"/>
        <v>92540.6346732265</v>
      </c>
      <c r="F146" s="5">
        <f t="shared" si="9"/>
        <v>92492.39302018358</v>
      </c>
      <c r="G146" s="5">
        <f t="shared" si="10"/>
        <v>-48.24165304291819</v>
      </c>
      <c r="H146" s="1">
        <f t="shared" si="11"/>
        <v>-1550182.8802757957</v>
      </c>
    </row>
    <row r="147" spans="1:8" ht="12.75">
      <c r="A147" s="16">
        <f>DADOS!A146</f>
        <v>41241</v>
      </c>
      <c r="B147">
        <f>DADOS!C146</f>
        <v>277</v>
      </c>
      <c r="C147">
        <f>DADOS!B146</f>
        <v>7.29</v>
      </c>
      <c r="D147">
        <f>DADOS!J146</f>
        <v>7.11</v>
      </c>
      <c r="E147" s="5">
        <f t="shared" si="8"/>
        <v>92556.96034458044</v>
      </c>
      <c r="F147" s="5">
        <f t="shared" si="9"/>
        <v>92565.89566007908</v>
      </c>
      <c r="G147" s="5">
        <f t="shared" si="10"/>
        <v>8.93531549864565</v>
      </c>
      <c r="H147" s="1">
        <f t="shared" si="11"/>
        <v>-1541247.56477715</v>
      </c>
    </row>
    <row r="148" spans="1:8" ht="12.75">
      <c r="A148" s="16">
        <f>DADOS!A147</f>
        <v>41242</v>
      </c>
      <c r="B148">
        <f>DADOS!C147</f>
        <v>276</v>
      </c>
      <c r="C148">
        <f>DADOS!B147</f>
        <v>7.31</v>
      </c>
      <c r="D148">
        <f>DADOS!J147</f>
        <v>7.07</v>
      </c>
      <c r="E148" s="5">
        <f t="shared" si="8"/>
        <v>92563.9099857247</v>
      </c>
      <c r="F148" s="5">
        <f t="shared" si="9"/>
        <v>92582.19148925693</v>
      </c>
      <c r="G148" s="5">
        <f t="shared" si="10"/>
        <v>18.28150353222736</v>
      </c>
      <c r="H148" s="1">
        <f t="shared" si="11"/>
        <v>-1522966.0612449227</v>
      </c>
    </row>
    <row r="149" spans="1:8" ht="12.75">
      <c r="A149" s="16">
        <f>DADOS!A148</f>
        <v>41243</v>
      </c>
      <c r="B149">
        <f>DADOS!C148</f>
        <v>275</v>
      </c>
      <c r="C149">
        <f>DADOS!B148</f>
        <v>7.21</v>
      </c>
      <c r="D149">
        <f>DADOS!J148</f>
        <v>7.06</v>
      </c>
      <c r="E149" s="5">
        <f t="shared" si="8"/>
        <v>92684.07784855233</v>
      </c>
      <c r="F149" s="5">
        <f t="shared" si="9"/>
        <v>92589.00578817802</v>
      </c>
      <c r="G149" s="5">
        <f t="shared" si="10"/>
        <v>-95.07206037431024</v>
      </c>
      <c r="H149" s="1">
        <f t="shared" si="11"/>
        <v>-1618038.121619233</v>
      </c>
    </row>
    <row r="150" spans="1:8" ht="12.75">
      <c r="A150" s="16">
        <f>DADOS!A149</f>
        <v>41246</v>
      </c>
      <c r="B150">
        <f>DADOS!C149</f>
        <v>274</v>
      </c>
      <c r="C150">
        <f>DADOS!B149</f>
        <v>7.17</v>
      </c>
      <c r="D150">
        <f>DADOS!J149</f>
        <v>7.07</v>
      </c>
      <c r="E150" s="5">
        <f t="shared" si="8"/>
        <v>92747.3113063693</v>
      </c>
      <c r="F150" s="5">
        <f t="shared" si="9"/>
        <v>92709.17186904835</v>
      </c>
      <c r="G150" s="5">
        <f t="shared" si="10"/>
        <v>-38.13943732094776</v>
      </c>
      <c r="H150" s="1">
        <f t="shared" si="11"/>
        <v>-1656177.5589401806</v>
      </c>
    </row>
    <row r="151" spans="1:8" ht="12.75">
      <c r="A151" s="16">
        <f>DADOS!A150</f>
        <v>41247</v>
      </c>
      <c r="B151">
        <f>DADOS!C150</f>
        <v>273</v>
      </c>
      <c r="C151">
        <f>DADOS!B150</f>
        <v>7.09</v>
      </c>
      <c r="D151">
        <f>DADOS!J150</f>
        <v>7.07</v>
      </c>
      <c r="E151" s="5">
        <f t="shared" si="8"/>
        <v>92847.8827714045</v>
      </c>
      <c r="F151" s="5">
        <f t="shared" si="9"/>
        <v>92772.45683234136</v>
      </c>
      <c r="G151" s="5">
        <f t="shared" si="10"/>
        <v>-75.42593906314869</v>
      </c>
      <c r="H151" s="1">
        <f t="shared" si="11"/>
        <v>-1731603.4980033292</v>
      </c>
    </row>
    <row r="152" spans="1:8" ht="12.75">
      <c r="A152" s="16">
        <f>DADOS!A151</f>
        <v>41248</v>
      </c>
      <c r="B152">
        <f>DADOS!C151</f>
        <v>272</v>
      </c>
      <c r="C152">
        <f>DADOS!B151</f>
        <v>7.1</v>
      </c>
      <c r="D152">
        <f>DADOS!J151</f>
        <v>7.06</v>
      </c>
      <c r="E152" s="5">
        <f t="shared" si="8"/>
        <v>92863.76458283511</v>
      </c>
      <c r="F152" s="5">
        <f t="shared" si="9"/>
        <v>92873.05556417654</v>
      </c>
      <c r="G152" s="5">
        <f t="shared" si="10"/>
        <v>9.29098134142987</v>
      </c>
      <c r="H152" s="1">
        <f t="shared" si="11"/>
        <v>-1722312.5166618992</v>
      </c>
    </row>
    <row r="153" spans="1:8" ht="12.75">
      <c r="A153" s="16"/>
      <c r="E153" s="5"/>
      <c r="F153" s="5"/>
      <c r="G153" s="5"/>
      <c r="H153" s="1"/>
    </row>
    <row r="154" spans="1:8" ht="12.75">
      <c r="A154" s="16"/>
      <c r="E154" s="5"/>
      <c r="F154" s="5"/>
      <c r="G154" s="5"/>
      <c r="H154" s="1"/>
    </row>
    <row r="155" spans="1:8" ht="12.75">
      <c r="A155" s="16"/>
      <c r="E155" s="5"/>
      <c r="F155" s="5"/>
      <c r="G155" s="5"/>
      <c r="H155" s="1"/>
    </row>
    <row r="156" spans="1:8" ht="12.75">
      <c r="A156" s="16"/>
      <c r="E156" s="5"/>
      <c r="F156" s="5"/>
      <c r="G156" s="5"/>
      <c r="H156" s="1"/>
    </row>
    <row r="157" spans="1:8" ht="12.75">
      <c r="A157" s="16"/>
      <c r="E157" s="5"/>
      <c r="F157" s="5"/>
      <c r="G157" s="5"/>
      <c r="H157" s="1"/>
    </row>
    <row r="158" spans="1:8" ht="12.75">
      <c r="A158" s="16"/>
      <c r="E158" s="5"/>
      <c r="F158" s="5"/>
      <c r="G158" s="5"/>
      <c r="H158" s="1"/>
    </row>
    <row r="159" spans="1:8" ht="12.75">
      <c r="A159" s="16"/>
      <c r="E159" s="5"/>
      <c r="F159" s="5"/>
      <c r="G159" s="5"/>
      <c r="H159" s="1"/>
    </row>
    <row r="160" spans="1:8" ht="12.75">
      <c r="A160" s="16"/>
      <c r="E160" s="5"/>
      <c r="F160" s="5"/>
      <c r="G160" s="5"/>
      <c r="H160" s="1"/>
    </row>
    <row r="161" spans="1:8" ht="12.75">
      <c r="A161" s="16"/>
      <c r="E161" s="5"/>
      <c r="F161" s="5"/>
      <c r="G161" s="5"/>
      <c r="H161" s="1"/>
    </row>
    <row r="162" spans="1:8" ht="12.75">
      <c r="A162" s="16"/>
      <c r="E162" s="5"/>
      <c r="F162" s="5"/>
      <c r="G162" s="5"/>
      <c r="H162" s="1"/>
    </row>
    <row r="163" spans="1:8" ht="12.75">
      <c r="A163" s="16"/>
      <c r="E163" s="5"/>
      <c r="F163" s="5"/>
      <c r="G163" s="5"/>
      <c r="H163" s="1"/>
    </row>
    <row r="164" spans="1:8" ht="12.75">
      <c r="A164" s="16"/>
      <c r="E164" s="5"/>
      <c r="F164" s="5"/>
      <c r="G164" s="5"/>
      <c r="H164" s="1"/>
    </row>
    <row r="165" spans="1:8" ht="12.75">
      <c r="A165" s="16"/>
      <c r="E165" s="5"/>
      <c r="F165" s="5"/>
      <c r="G165" s="5"/>
      <c r="H165" s="1"/>
    </row>
    <row r="166" spans="1:8" ht="12.75">
      <c r="A166" s="16"/>
      <c r="E166" s="5"/>
      <c r="F166" s="5"/>
      <c r="G166" s="5"/>
      <c r="H166" s="1"/>
    </row>
    <row r="167" spans="1:8" ht="12.75">
      <c r="A167" s="16"/>
      <c r="E167" s="5"/>
      <c r="F167" s="5"/>
      <c r="G167" s="5"/>
      <c r="H167" s="1"/>
    </row>
    <row r="168" spans="1:8" ht="12.75">
      <c r="A168" s="16"/>
      <c r="E168" s="5"/>
      <c r="F168" s="5"/>
      <c r="G168" s="5"/>
      <c r="H168" s="1"/>
    </row>
    <row r="169" spans="1:8" ht="12.75">
      <c r="A169" s="16"/>
      <c r="E169" s="5"/>
      <c r="F169" s="5"/>
      <c r="G169" s="5"/>
      <c r="H169" s="1"/>
    </row>
    <row r="170" spans="1:8" ht="12.75">
      <c r="A170" s="16"/>
      <c r="E170" s="5"/>
      <c r="F170" s="5"/>
      <c r="G170" s="5"/>
      <c r="H170" s="1"/>
    </row>
    <row r="171" spans="1:8" ht="12.75">
      <c r="A171" s="16"/>
      <c r="E171" s="5"/>
      <c r="F171" s="5"/>
      <c r="G171" s="5"/>
      <c r="H171" s="1"/>
    </row>
    <row r="172" spans="1:8" ht="12.75">
      <c r="A172" s="16"/>
      <c r="E172" s="5"/>
      <c r="F172" s="5"/>
      <c r="G172" s="5"/>
      <c r="H172" s="1"/>
    </row>
    <row r="173" spans="1:8" ht="12.75">
      <c r="A173" s="16"/>
      <c r="E173" s="5"/>
      <c r="F173" s="5"/>
      <c r="G173" s="5"/>
      <c r="H173" s="1"/>
    </row>
    <row r="174" spans="1:8" ht="12.75">
      <c r="A174" s="16"/>
      <c r="E174" s="5"/>
      <c r="F174" s="5"/>
      <c r="G174" s="5"/>
      <c r="H174" s="1"/>
    </row>
    <row r="175" spans="1:8" ht="12.75">
      <c r="A175" s="16"/>
      <c r="E175" s="5"/>
      <c r="F175" s="5"/>
      <c r="G175" s="5"/>
      <c r="H175" s="1"/>
    </row>
    <row r="176" spans="1:8" ht="12.75">
      <c r="A176" s="16"/>
      <c r="E176" s="5"/>
      <c r="F176" s="5"/>
      <c r="G176" s="5"/>
      <c r="H176" s="1"/>
    </row>
    <row r="177" spans="1:8" ht="12.75">
      <c r="A177" s="16"/>
      <c r="E177" s="5"/>
      <c r="F177" s="5"/>
      <c r="G177" s="5"/>
      <c r="H177" s="1"/>
    </row>
    <row r="178" spans="1:8" ht="12.75">
      <c r="A178" s="16"/>
      <c r="E178" s="5"/>
      <c r="F178" s="5"/>
      <c r="G178" s="5"/>
      <c r="H178" s="1"/>
    </row>
    <row r="179" spans="1:8" ht="12.75">
      <c r="A179" s="16"/>
      <c r="E179" s="5"/>
      <c r="F179" s="5"/>
      <c r="G179" s="5"/>
      <c r="H179" s="1"/>
    </row>
    <row r="180" spans="1:8" ht="12.75">
      <c r="A180" s="16"/>
      <c r="E180" s="5"/>
      <c r="F180" s="5"/>
      <c r="G180" s="5"/>
      <c r="H180" s="1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:K17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8" width="15.8515625" style="0" customWidth="1"/>
  </cols>
  <sheetData>
    <row r="1" spans="1:8" ht="20.25">
      <c r="A1" s="359" t="s">
        <v>121</v>
      </c>
      <c r="B1" s="359"/>
      <c r="C1" s="359"/>
      <c r="D1" s="359"/>
      <c r="E1" s="359"/>
      <c r="F1" s="359"/>
      <c r="G1" s="359"/>
      <c r="H1" s="359"/>
    </row>
    <row r="2" spans="1:11" ht="12.75">
      <c r="A2" s="139">
        <v>40725</v>
      </c>
      <c r="H2" s="144" t="s">
        <v>128</v>
      </c>
      <c r="J2" s="121" t="s">
        <v>127</v>
      </c>
      <c r="K2">
        <v>1000</v>
      </c>
    </row>
    <row r="3" spans="1:8" ht="12.75">
      <c r="A3" s="120" t="s">
        <v>116</v>
      </c>
      <c r="B3" s="120" t="s">
        <v>56</v>
      </c>
      <c r="C3" s="120" t="s">
        <v>102</v>
      </c>
      <c r="D3" s="120" t="s">
        <v>117</v>
      </c>
      <c r="E3" s="120" t="s">
        <v>24</v>
      </c>
      <c r="F3" s="120" t="s">
        <v>118</v>
      </c>
      <c r="G3" s="120" t="s">
        <v>119</v>
      </c>
      <c r="H3" s="120" t="s">
        <v>120</v>
      </c>
    </row>
    <row r="4" spans="1:6" ht="12.75">
      <c r="A4" s="16">
        <f>DADOS!A3</f>
        <v>41031</v>
      </c>
      <c r="B4">
        <f>DADOS!E3</f>
        <v>543</v>
      </c>
      <c r="C4">
        <f>DADOS!D3</f>
        <v>8.87</v>
      </c>
      <c r="D4">
        <f>DADOS!J3</f>
        <v>8.76</v>
      </c>
      <c r="E4" s="5">
        <f>100000/(1+C4/100)^(B4/252)</f>
        <v>83266.7410498365</v>
      </c>
      <c r="F4" s="133" t="s">
        <v>126</v>
      </c>
    </row>
    <row r="5" spans="1:8" ht="12.75">
      <c r="A5" s="16">
        <f>DADOS!A4</f>
        <v>41032</v>
      </c>
      <c r="B5">
        <f>DADOS!E4</f>
        <v>542</v>
      </c>
      <c r="C5">
        <f>DADOS!D4</f>
        <v>8.83</v>
      </c>
      <c r="D5">
        <f>DADOS!J4</f>
        <v>8.76</v>
      </c>
      <c r="E5" s="5">
        <f aca="true" t="shared" si="0" ref="E5:E59">100000/(1+C5/100)^(B5/252)</f>
        <v>83360.6863439288</v>
      </c>
      <c r="F5" s="5">
        <f>(1+D4/100)^(1/252)*E4</f>
        <v>83294.49247559783</v>
      </c>
      <c r="G5" s="5">
        <f>-E5+F5</f>
        <v>-66.19386833097087</v>
      </c>
      <c r="H5" s="1">
        <f>G5*$K$2</f>
        <v>-66193.86833097087</v>
      </c>
    </row>
    <row r="6" spans="1:8" ht="12.75">
      <c r="A6" s="16">
        <f>DADOS!A5</f>
        <v>41033</v>
      </c>
      <c r="B6">
        <f>DADOS!E5</f>
        <v>541</v>
      </c>
      <c r="C6">
        <f>DADOS!D5</f>
        <v>8.54</v>
      </c>
      <c r="D6">
        <f>DADOS!J5</f>
        <v>8.71</v>
      </c>
      <c r="E6" s="5">
        <f t="shared" si="0"/>
        <v>83867.72770153628</v>
      </c>
      <c r="F6" s="5">
        <f aca="true" t="shared" si="1" ref="F6:F59">(1+D5/100)^(1/252)*E5</f>
        <v>83388.46908010075</v>
      </c>
      <c r="G6" s="5">
        <f aca="true" t="shared" si="2" ref="G6:G59">-E6+F6</f>
        <v>-479.25862143552513</v>
      </c>
      <c r="H6" s="1">
        <f>H5+G6*$K$2</f>
        <v>-545452.489766496</v>
      </c>
    </row>
    <row r="7" spans="1:8" ht="12.75">
      <c r="A7" s="16">
        <f>DADOS!A6</f>
        <v>41036</v>
      </c>
      <c r="B7">
        <f>DADOS!E6</f>
        <v>540</v>
      </c>
      <c r="C7">
        <f>DADOS!D6</f>
        <v>8.47</v>
      </c>
      <c r="D7">
        <f>DADOS!J6</f>
        <v>8.71</v>
      </c>
      <c r="E7" s="5">
        <f t="shared" si="0"/>
        <v>84011.06405722206</v>
      </c>
      <c r="F7" s="5">
        <f t="shared" si="1"/>
        <v>83895.52633884306</v>
      </c>
      <c r="G7" s="5">
        <f t="shared" si="2"/>
        <v>-115.53771837899694</v>
      </c>
      <c r="H7" s="1">
        <f aca="true" t="shared" si="3" ref="H7:H59">H6+G7*$K$2</f>
        <v>-660990.208145493</v>
      </c>
    </row>
    <row r="8" spans="1:8" ht="12.75">
      <c r="A8" s="16">
        <f>DADOS!A7</f>
        <v>41037</v>
      </c>
      <c r="B8">
        <f>DADOS!E7</f>
        <v>539</v>
      </c>
      <c r="C8">
        <f>DADOS!D7</f>
        <v>8.68</v>
      </c>
      <c r="D8">
        <f>DADOS!J7</f>
        <v>8.69</v>
      </c>
      <c r="E8" s="5">
        <f t="shared" si="0"/>
        <v>83691.23152615956</v>
      </c>
      <c r="F8" s="5">
        <f t="shared" si="1"/>
        <v>84038.91020452433</v>
      </c>
      <c r="G8" s="5">
        <f t="shared" si="2"/>
        <v>347.67867836476944</v>
      </c>
      <c r="H8" s="1">
        <f t="shared" si="3"/>
        <v>-313311.5297807235</v>
      </c>
    </row>
    <row r="9" spans="1:8" ht="12.75">
      <c r="A9" s="16">
        <f>DADOS!A8</f>
        <v>41038</v>
      </c>
      <c r="B9">
        <f>DADOS!E8</f>
        <v>538</v>
      </c>
      <c r="C9">
        <f>DADOS!D8</f>
        <v>8.88</v>
      </c>
      <c r="D9">
        <f>DADOS!J8</f>
        <v>8.69</v>
      </c>
      <c r="E9" s="5">
        <f t="shared" si="0"/>
        <v>83390.90995565978</v>
      </c>
      <c r="F9" s="5">
        <f t="shared" si="1"/>
        <v>83718.9105367093</v>
      </c>
      <c r="G9" s="5">
        <f t="shared" si="2"/>
        <v>328.0005810495204</v>
      </c>
      <c r="H9" s="1">
        <f t="shared" si="3"/>
        <v>14689.051268796902</v>
      </c>
    </row>
    <row r="10" spans="1:8" ht="12.75">
      <c r="A10" s="16">
        <f>DADOS!A9</f>
        <v>41039</v>
      </c>
      <c r="B10">
        <f>DADOS!E9</f>
        <v>537</v>
      </c>
      <c r="C10">
        <f>DADOS!D9</f>
        <v>8.75</v>
      </c>
      <c r="D10">
        <f>DADOS!J9</f>
        <v>8.68</v>
      </c>
      <c r="E10" s="5">
        <f t="shared" si="0"/>
        <v>83631.70862754197</v>
      </c>
      <c r="F10" s="5">
        <f t="shared" si="1"/>
        <v>83418.48964153993</v>
      </c>
      <c r="G10" s="5">
        <f t="shared" si="2"/>
        <v>-213.2189860020444</v>
      </c>
      <c r="H10" s="1">
        <f t="shared" si="3"/>
        <v>-198529.9347332475</v>
      </c>
    </row>
    <row r="11" spans="1:8" ht="12.75">
      <c r="A11" s="16">
        <f>DADOS!A10</f>
        <v>41040</v>
      </c>
      <c r="B11">
        <f>DADOS!E10</f>
        <v>536</v>
      </c>
      <c r="C11">
        <f>DADOS!D10</f>
        <v>8.76</v>
      </c>
      <c r="D11">
        <f>DADOS!J10</f>
        <v>8.68</v>
      </c>
      <c r="E11" s="5">
        <f t="shared" si="0"/>
        <v>83643.19098519713</v>
      </c>
      <c r="F11" s="5">
        <f t="shared" si="1"/>
        <v>83659.33740692209</v>
      </c>
      <c r="G11" s="5">
        <f t="shared" si="2"/>
        <v>16.14642172495951</v>
      </c>
      <c r="H11" s="1">
        <f t="shared" si="3"/>
        <v>-182383.513008288</v>
      </c>
    </row>
    <row r="12" spans="1:8" ht="12.75">
      <c r="A12" s="16">
        <f>DADOS!A11</f>
        <v>41043</v>
      </c>
      <c r="B12">
        <f>DADOS!E11</f>
        <v>535</v>
      </c>
      <c r="C12">
        <f>DADOS!D11</f>
        <v>8.69</v>
      </c>
      <c r="D12">
        <f>DADOS!J11</f>
        <v>8.63</v>
      </c>
      <c r="E12" s="5">
        <f t="shared" si="0"/>
        <v>83785.51214039484</v>
      </c>
      <c r="F12" s="5">
        <f t="shared" si="1"/>
        <v>83670.8235579175</v>
      </c>
      <c r="G12" s="5">
        <f t="shared" si="2"/>
        <v>-114.68858247734897</v>
      </c>
      <c r="H12" s="1">
        <f t="shared" si="3"/>
        <v>-297072.09548563696</v>
      </c>
    </row>
    <row r="13" spans="1:8" ht="12.75">
      <c r="A13" s="16">
        <f>DADOS!A12</f>
        <v>41044</v>
      </c>
      <c r="B13">
        <f>DADOS!E12</f>
        <v>534</v>
      </c>
      <c r="C13">
        <f>DADOS!D12</f>
        <v>8.62</v>
      </c>
      <c r="D13">
        <f>DADOS!J12</f>
        <v>8.72</v>
      </c>
      <c r="E13" s="5">
        <f t="shared" si="0"/>
        <v>83927.72037718451</v>
      </c>
      <c r="F13" s="5">
        <f t="shared" si="1"/>
        <v>83813.0386812486</v>
      </c>
      <c r="G13" s="5">
        <f t="shared" si="2"/>
        <v>-114.68169593591301</v>
      </c>
      <c r="H13" s="1">
        <f t="shared" si="3"/>
        <v>-411753.79142155</v>
      </c>
    </row>
    <row r="14" spans="1:8" ht="12.75">
      <c r="A14" s="16">
        <f>DADOS!A13</f>
        <v>41045</v>
      </c>
      <c r="B14">
        <f>DADOS!E13</f>
        <v>533</v>
      </c>
      <c r="C14">
        <f>DADOS!D13</f>
        <v>8.5</v>
      </c>
      <c r="D14">
        <f>DADOS!J13</f>
        <v>8.73</v>
      </c>
      <c r="E14" s="5">
        <f t="shared" si="0"/>
        <v>84151.77712035722</v>
      </c>
      <c r="F14" s="5">
        <f t="shared" si="1"/>
        <v>83955.56954453496</v>
      </c>
      <c r="G14" s="5">
        <f t="shared" si="2"/>
        <v>-196.2075758222636</v>
      </c>
      <c r="H14" s="1">
        <f t="shared" si="3"/>
        <v>-607961.3672438136</v>
      </c>
    </row>
    <row r="15" spans="1:8" ht="12.75">
      <c r="A15" s="16">
        <f>DADOS!A14</f>
        <v>41046</v>
      </c>
      <c r="B15">
        <f>DADOS!E14</f>
        <v>532</v>
      </c>
      <c r="C15">
        <f>DADOS!D14</f>
        <v>8.45</v>
      </c>
      <c r="D15">
        <f>DADOS!J14</f>
        <v>8.74</v>
      </c>
      <c r="E15" s="5">
        <f t="shared" si="0"/>
        <v>84260.97733295102</v>
      </c>
      <c r="F15" s="5">
        <f t="shared" si="1"/>
        <v>84179.73135892194</v>
      </c>
      <c r="G15" s="5">
        <f t="shared" si="2"/>
        <v>-81.24597402907966</v>
      </c>
      <c r="H15" s="1">
        <f t="shared" si="3"/>
        <v>-689207.3412728932</v>
      </c>
    </row>
    <row r="16" spans="1:8" ht="12.75">
      <c r="A16" s="16">
        <f>DADOS!A15</f>
        <v>41047</v>
      </c>
      <c r="B16">
        <f>DADOS!E15</f>
        <v>531</v>
      </c>
      <c r="C16">
        <f>DADOS!D15</f>
        <v>8.33</v>
      </c>
      <c r="D16">
        <f>DADOS!J15</f>
        <v>8.76</v>
      </c>
      <c r="E16" s="5">
        <f t="shared" si="0"/>
        <v>84484.96608748552</v>
      </c>
      <c r="F16" s="5">
        <f t="shared" si="1"/>
        <v>84288.99860758534</v>
      </c>
      <c r="G16" s="5">
        <f t="shared" si="2"/>
        <v>-195.96747990018048</v>
      </c>
      <c r="H16" s="1">
        <f t="shared" si="3"/>
        <v>-885174.8211730737</v>
      </c>
    </row>
    <row r="17" spans="1:8" ht="12.75">
      <c r="A17" s="16">
        <f>DADOS!A16</f>
        <v>41050</v>
      </c>
      <c r="B17">
        <f>DADOS!E16</f>
        <v>530</v>
      </c>
      <c r="C17">
        <f>DADOS!D16</f>
        <v>8.46</v>
      </c>
      <c r="D17">
        <f>DADOS!J16</f>
        <v>8.73</v>
      </c>
      <c r="E17" s="5">
        <f t="shared" si="0"/>
        <v>84298.89323921385</v>
      </c>
      <c r="F17" s="5">
        <f t="shared" si="1"/>
        <v>84513.12352747613</v>
      </c>
      <c r="G17" s="5">
        <f t="shared" si="2"/>
        <v>214.23028826227528</v>
      </c>
      <c r="H17" s="1">
        <f t="shared" si="3"/>
        <v>-670944.5329107984</v>
      </c>
    </row>
    <row r="18" spans="1:8" ht="12.75">
      <c r="A18" s="16">
        <f>DADOS!A17</f>
        <v>41051</v>
      </c>
      <c r="B18">
        <f>DADOS!E17</f>
        <v>529</v>
      </c>
      <c r="C18">
        <f>DADOS!D17</f>
        <v>8.73</v>
      </c>
      <c r="D18">
        <f>DADOS!J17</f>
        <v>8.77</v>
      </c>
      <c r="E18" s="5">
        <f t="shared" si="0"/>
        <v>83887.09089781575</v>
      </c>
      <c r="F18" s="5">
        <f t="shared" si="1"/>
        <v>84326.89634803685</v>
      </c>
      <c r="G18" s="5">
        <f t="shared" si="2"/>
        <v>439.80545022110164</v>
      </c>
      <c r="H18" s="1">
        <f t="shared" si="3"/>
        <v>-231139.0826896968</v>
      </c>
    </row>
    <row r="19" spans="1:8" ht="12.75">
      <c r="A19" s="16">
        <f>DADOS!A18</f>
        <v>41052</v>
      </c>
      <c r="B19">
        <f>DADOS!E18</f>
        <v>528</v>
      </c>
      <c r="C19">
        <f>DADOS!D18</f>
        <v>8.62</v>
      </c>
      <c r="D19">
        <f>DADOS!J18</f>
        <v>8.78</v>
      </c>
      <c r="E19" s="5">
        <f t="shared" si="0"/>
        <v>84093.11156291541</v>
      </c>
      <c r="F19" s="5">
        <f t="shared" si="1"/>
        <v>83915.07969203277</v>
      </c>
      <c r="G19" s="5">
        <f t="shared" si="2"/>
        <v>-178.03187088263803</v>
      </c>
      <c r="H19" s="1">
        <f t="shared" si="3"/>
        <v>-409170.95357233484</v>
      </c>
    </row>
    <row r="20" spans="1:8" ht="12.75">
      <c r="A20" s="16">
        <f>DADOS!A19</f>
        <v>41053</v>
      </c>
      <c r="B20">
        <f>DADOS!E19</f>
        <v>527</v>
      </c>
      <c r="C20">
        <f>DADOS!D19</f>
        <v>8.85</v>
      </c>
      <c r="D20">
        <f>DADOS!J19</f>
        <v>8.78</v>
      </c>
      <c r="E20" s="5">
        <f t="shared" si="0"/>
        <v>83749.41998651985</v>
      </c>
      <c r="F20" s="5">
        <f t="shared" si="1"/>
        <v>84121.19978410509</v>
      </c>
      <c r="G20" s="5">
        <f t="shared" si="2"/>
        <v>371.7797975852445</v>
      </c>
      <c r="H20" s="1">
        <f t="shared" si="3"/>
        <v>-37391.155987090315</v>
      </c>
    </row>
    <row r="21" spans="1:8" ht="12.75">
      <c r="A21" s="16">
        <f>DADOS!A20</f>
        <v>41054</v>
      </c>
      <c r="B21">
        <f>DADOS!E20</f>
        <v>526</v>
      </c>
      <c r="C21">
        <f>DADOS!D20</f>
        <v>8.76</v>
      </c>
      <c r="D21">
        <f>DADOS!J20</f>
        <v>8.79</v>
      </c>
      <c r="E21" s="5">
        <f t="shared" si="0"/>
        <v>83922.37835065926</v>
      </c>
      <c r="F21" s="5">
        <f t="shared" si="1"/>
        <v>83777.39341013765</v>
      </c>
      <c r="G21" s="5">
        <f t="shared" si="2"/>
        <v>-144.98494052160822</v>
      </c>
      <c r="H21" s="1">
        <f t="shared" si="3"/>
        <v>-182376.09650869854</v>
      </c>
    </row>
    <row r="22" spans="1:8" ht="12.75">
      <c r="A22" s="16">
        <f>DADOS!A21</f>
        <v>41057</v>
      </c>
      <c r="B22">
        <f>DADOS!E21</f>
        <v>525</v>
      </c>
      <c r="C22">
        <f>DADOS!D21</f>
        <v>8.73</v>
      </c>
      <c r="D22">
        <f>DADOS!J21</f>
        <v>8.78</v>
      </c>
      <c r="E22" s="5">
        <f t="shared" si="0"/>
        <v>83998.61170285972</v>
      </c>
      <c r="F22" s="5">
        <f t="shared" si="1"/>
        <v>83950.4401680736</v>
      </c>
      <c r="G22" s="5">
        <f t="shared" si="2"/>
        <v>-48.17153478611726</v>
      </c>
      <c r="H22" s="1">
        <f t="shared" si="3"/>
        <v>-230547.6312948158</v>
      </c>
    </row>
    <row r="23" spans="1:8" ht="12.75">
      <c r="A23" s="16">
        <f>DADOS!A22</f>
        <v>41058</v>
      </c>
      <c r="B23">
        <f>DADOS!E22</f>
        <v>524</v>
      </c>
      <c r="C23">
        <f>DADOS!D22</f>
        <v>8.57</v>
      </c>
      <c r="D23">
        <f>DADOS!J22</f>
        <v>8.79</v>
      </c>
      <c r="E23" s="5">
        <f t="shared" si="0"/>
        <v>84284.2080058369</v>
      </c>
      <c r="F23" s="5">
        <f t="shared" si="1"/>
        <v>84026.66835983537</v>
      </c>
      <c r="G23" s="5">
        <f t="shared" si="2"/>
        <v>-257.5396460015327</v>
      </c>
      <c r="H23" s="1">
        <f t="shared" si="3"/>
        <v>-488087.2772963485</v>
      </c>
    </row>
    <row r="24" spans="1:8" ht="12.75">
      <c r="A24" s="16">
        <f>DADOS!A23</f>
        <v>41059</v>
      </c>
      <c r="B24">
        <f>DADOS!E23</f>
        <v>523</v>
      </c>
      <c r="C24">
        <f>DADOS!D23</f>
        <v>8.56</v>
      </c>
      <c r="D24">
        <f>DADOS!J23</f>
        <v>8.81</v>
      </c>
      <c r="E24" s="5">
        <f t="shared" si="0"/>
        <v>84327.83263860893</v>
      </c>
      <c r="F24" s="5">
        <f t="shared" si="1"/>
        <v>84312.39081121559</v>
      </c>
      <c r="G24" s="5">
        <f t="shared" si="2"/>
        <v>-15.441827393340645</v>
      </c>
      <c r="H24" s="1">
        <f t="shared" si="3"/>
        <v>-503529.1046896891</v>
      </c>
    </row>
    <row r="25" spans="1:8" ht="12.75">
      <c r="A25" s="16">
        <f>DADOS!A24</f>
        <v>41060</v>
      </c>
      <c r="B25">
        <f>DADOS!E24</f>
        <v>522</v>
      </c>
      <c r="C25">
        <f>DADOS!D24</f>
        <v>8.52</v>
      </c>
      <c r="D25">
        <f>DADOS!J24</f>
        <v>8.33</v>
      </c>
      <c r="E25" s="5">
        <f t="shared" si="0"/>
        <v>84419.74123256923</v>
      </c>
      <c r="F25" s="5">
        <f t="shared" si="1"/>
        <v>84356.0915653572</v>
      </c>
      <c r="G25" s="5">
        <f t="shared" si="2"/>
        <v>-63.64966721202654</v>
      </c>
      <c r="H25" s="1">
        <f t="shared" si="3"/>
        <v>-567178.7719017157</v>
      </c>
    </row>
    <row r="26" spans="1:8" ht="12.75">
      <c r="A26" s="16">
        <f>DADOS!A25</f>
        <v>41061</v>
      </c>
      <c r="B26">
        <f>DADOS!E25</f>
        <v>521</v>
      </c>
      <c r="C26">
        <f>DADOS!D25</f>
        <v>8.51</v>
      </c>
      <c r="D26">
        <f>DADOS!J25</f>
        <v>8.34</v>
      </c>
      <c r="E26" s="5">
        <f t="shared" si="0"/>
        <v>84463.22728831228</v>
      </c>
      <c r="F26" s="5">
        <f t="shared" si="1"/>
        <v>84446.54940530362</v>
      </c>
      <c r="G26" s="5">
        <f t="shared" si="2"/>
        <v>-16.677883008655044</v>
      </c>
      <c r="H26" s="1">
        <f t="shared" si="3"/>
        <v>-583856.6549103707</v>
      </c>
    </row>
    <row r="27" spans="1:8" ht="12.75">
      <c r="A27" s="16">
        <f>DADOS!A26</f>
        <v>41064</v>
      </c>
      <c r="B27">
        <f>DADOS!E26</f>
        <v>520</v>
      </c>
      <c r="C27">
        <f>DADOS!D26</f>
        <v>8.71</v>
      </c>
      <c r="D27">
        <f>DADOS!J26</f>
        <v>8.35</v>
      </c>
      <c r="E27" s="5">
        <f t="shared" si="0"/>
        <v>84170.16594139063</v>
      </c>
      <c r="F27" s="5">
        <f t="shared" si="1"/>
        <v>84490.08021866152</v>
      </c>
      <c r="G27" s="5">
        <f t="shared" si="2"/>
        <v>319.9142772708874</v>
      </c>
      <c r="H27" s="1">
        <f t="shared" si="3"/>
        <v>-263942.3776394833</v>
      </c>
    </row>
    <row r="28" spans="1:8" ht="12.75">
      <c r="A28" s="16">
        <f>DADOS!A27</f>
        <v>41065</v>
      </c>
      <c r="B28">
        <f>DADOS!E27</f>
        <v>519</v>
      </c>
      <c r="C28">
        <f>DADOS!D27</f>
        <v>8.67</v>
      </c>
      <c r="D28">
        <f>DADOS!J27</f>
        <v>8.36</v>
      </c>
      <c r="E28" s="5">
        <f t="shared" si="0"/>
        <v>84261.90644893842</v>
      </c>
      <c r="F28" s="5">
        <f t="shared" si="1"/>
        <v>84196.95653840342</v>
      </c>
      <c r="G28" s="5">
        <f t="shared" si="2"/>
        <v>-64.94991053499689</v>
      </c>
      <c r="H28" s="1">
        <f t="shared" si="3"/>
        <v>-328892.2881744802</v>
      </c>
    </row>
    <row r="29" spans="1:8" ht="12.75">
      <c r="A29" s="16">
        <f>DADOS!A28</f>
        <v>41066</v>
      </c>
      <c r="B29">
        <f>DADOS!E28</f>
        <v>518</v>
      </c>
      <c r="C29">
        <f>DADOS!D28</f>
        <v>8.61</v>
      </c>
      <c r="D29">
        <f>DADOS!J28</f>
        <v>8.32</v>
      </c>
      <c r="E29" s="5">
        <f t="shared" si="0"/>
        <v>84385.45670293993</v>
      </c>
      <c r="F29" s="5">
        <f t="shared" si="1"/>
        <v>84288.7571149422</v>
      </c>
      <c r="G29" s="5">
        <f t="shared" si="2"/>
        <v>-96.69958799773303</v>
      </c>
      <c r="H29" s="1">
        <f t="shared" si="3"/>
        <v>-425591.87617221323</v>
      </c>
    </row>
    <row r="30" spans="1:8" ht="12.75">
      <c r="A30" s="16">
        <f>DADOS!A29</f>
        <v>41068</v>
      </c>
      <c r="B30">
        <f>DADOS!E29</f>
        <v>517</v>
      </c>
      <c r="C30">
        <f>DADOS!D29</f>
        <v>8.48</v>
      </c>
      <c r="D30">
        <f>DADOS!J29</f>
        <v>8.36</v>
      </c>
      <c r="E30" s="5">
        <f t="shared" si="0"/>
        <v>84620.78552706637</v>
      </c>
      <c r="F30" s="5">
        <f t="shared" si="1"/>
        <v>84412.22306573161</v>
      </c>
      <c r="G30" s="5">
        <f t="shared" si="2"/>
        <v>-208.56246133476088</v>
      </c>
      <c r="H30" s="1">
        <f t="shared" si="3"/>
        <v>-634154.3375069741</v>
      </c>
    </row>
    <row r="31" spans="1:8" ht="12.75">
      <c r="A31" s="16">
        <f>DADOS!A30</f>
        <v>41071</v>
      </c>
      <c r="B31">
        <f>DADOS!E30</f>
        <v>516</v>
      </c>
      <c r="C31">
        <f>DADOS!D30</f>
        <v>8.49</v>
      </c>
      <c r="D31">
        <f>DADOS!J30</f>
        <v>8.32</v>
      </c>
      <c r="E31" s="5">
        <f t="shared" si="0"/>
        <v>84632.14678420147</v>
      </c>
      <c r="F31" s="5">
        <f t="shared" si="1"/>
        <v>84647.75055248437</v>
      </c>
      <c r="G31" s="5">
        <f t="shared" si="2"/>
        <v>15.603768282904639</v>
      </c>
      <c r="H31" s="1">
        <f t="shared" si="3"/>
        <v>-618550.5692240695</v>
      </c>
    </row>
    <row r="32" spans="1:8" ht="12.75">
      <c r="A32" s="16">
        <f>DADOS!A31</f>
        <v>41072</v>
      </c>
      <c r="B32">
        <f>DADOS!E31</f>
        <v>515</v>
      </c>
      <c r="C32">
        <f>DADOS!D31</f>
        <v>8.4</v>
      </c>
      <c r="D32">
        <f>DADOS!J31</f>
        <v>8.34</v>
      </c>
      <c r="E32" s="5">
        <f t="shared" si="0"/>
        <v>84803.2271825954</v>
      </c>
      <c r="F32" s="5">
        <f t="shared" si="1"/>
        <v>84658.99139502866</v>
      </c>
      <c r="G32" s="5">
        <f t="shared" si="2"/>
        <v>-144.2357875667367</v>
      </c>
      <c r="H32" s="1">
        <f t="shared" si="3"/>
        <v>-762786.3567908062</v>
      </c>
    </row>
    <row r="33" spans="1:8" ht="12.75">
      <c r="A33" s="16">
        <f>DADOS!A32</f>
        <v>41073</v>
      </c>
      <c r="B33">
        <f>DADOS!E32</f>
        <v>514</v>
      </c>
      <c r="C33">
        <f>DADOS!D32</f>
        <v>8.35</v>
      </c>
      <c r="D33">
        <f>DADOS!J32</f>
        <v>8.35</v>
      </c>
      <c r="E33" s="5">
        <f t="shared" si="0"/>
        <v>84910.24008575683</v>
      </c>
      <c r="F33" s="5">
        <f t="shared" si="1"/>
        <v>84830.18820724523</v>
      </c>
      <c r="G33" s="5">
        <f t="shared" si="2"/>
        <v>-80.05187851160008</v>
      </c>
      <c r="H33" s="1">
        <f t="shared" si="3"/>
        <v>-842838.2353024062</v>
      </c>
    </row>
    <row r="34" spans="1:8" ht="12.75">
      <c r="A34" s="16">
        <f>DADOS!A33</f>
        <v>41074</v>
      </c>
      <c r="B34">
        <f>DADOS!E33</f>
        <v>513</v>
      </c>
      <c r="C34">
        <f>DADOS!D33</f>
        <v>8.33</v>
      </c>
      <c r="D34">
        <f>DADOS!J33</f>
        <v>8.34</v>
      </c>
      <c r="E34" s="5">
        <f t="shared" si="0"/>
        <v>84969.19175396726</v>
      </c>
      <c r="F34" s="5">
        <f t="shared" si="1"/>
        <v>84937.26624162756</v>
      </c>
      <c r="G34" s="5">
        <f t="shared" si="2"/>
        <v>-31.925512339701527</v>
      </c>
      <c r="H34" s="1">
        <f t="shared" si="3"/>
        <v>-874763.7476421078</v>
      </c>
    </row>
    <row r="35" spans="1:8" ht="12.75">
      <c r="A35" s="16">
        <f>DADOS!A34</f>
        <v>41075</v>
      </c>
      <c r="B35">
        <f>DADOS!E34</f>
        <v>512</v>
      </c>
      <c r="C35">
        <f>DADOS!D34</f>
        <v>8.45</v>
      </c>
      <c r="D35">
        <f>DADOS!J34</f>
        <v>8.32</v>
      </c>
      <c r="E35" s="5">
        <f t="shared" si="0"/>
        <v>84805.20116765556</v>
      </c>
      <c r="F35" s="5">
        <f t="shared" si="1"/>
        <v>84996.20554282251</v>
      </c>
      <c r="G35" s="5">
        <f t="shared" si="2"/>
        <v>191.0043751669582</v>
      </c>
      <c r="H35" s="1">
        <f t="shared" si="3"/>
        <v>-683759.3724751496</v>
      </c>
    </row>
    <row r="36" spans="1:8" ht="12.75">
      <c r="A36" s="16">
        <f>DADOS!A35</f>
        <v>41078</v>
      </c>
      <c r="B36">
        <f>DADOS!E35</f>
        <v>511</v>
      </c>
      <c r="C36">
        <f>DADOS!D35</f>
        <v>8.4</v>
      </c>
      <c r="D36">
        <f>DADOS!J35</f>
        <v>8.35</v>
      </c>
      <c r="E36" s="5">
        <f t="shared" si="0"/>
        <v>84911.86894365994</v>
      </c>
      <c r="F36" s="5">
        <f t="shared" si="1"/>
        <v>84832.10066988929</v>
      </c>
      <c r="G36" s="5">
        <f t="shared" si="2"/>
        <v>-79.7682737706491</v>
      </c>
      <c r="H36" s="1">
        <f t="shared" si="3"/>
        <v>-763527.6462457987</v>
      </c>
    </row>
    <row r="37" spans="1:8" ht="12.75">
      <c r="A37" s="16">
        <f>DADOS!A36</f>
        <v>41079</v>
      </c>
      <c r="B37">
        <f>DADOS!E36</f>
        <v>510</v>
      </c>
      <c r="C37">
        <f>DADOS!D36</f>
        <v>8.36</v>
      </c>
      <c r="D37">
        <f>DADOS!J36</f>
        <v>8.32</v>
      </c>
      <c r="E37" s="5">
        <f t="shared" si="0"/>
        <v>85002.51843442615</v>
      </c>
      <c r="F37" s="5">
        <f t="shared" si="1"/>
        <v>84938.8956179813</v>
      </c>
      <c r="G37" s="5">
        <f t="shared" si="2"/>
        <v>-63.622816444854834</v>
      </c>
      <c r="H37" s="1">
        <f t="shared" si="3"/>
        <v>-827150.4626906535</v>
      </c>
    </row>
    <row r="38" spans="1:8" ht="12.75">
      <c r="A38" s="16">
        <f>DADOS!A37</f>
        <v>41080</v>
      </c>
      <c r="B38">
        <f>DADOS!E37</f>
        <v>509</v>
      </c>
      <c r="C38">
        <f>DADOS!D37</f>
        <v>8.38</v>
      </c>
      <c r="D38">
        <f>DADOS!J37</f>
        <v>8.37</v>
      </c>
      <c r="E38" s="5">
        <f t="shared" si="0"/>
        <v>84997.91472636443</v>
      </c>
      <c r="F38" s="5">
        <f t="shared" si="1"/>
        <v>85029.48052405058</v>
      </c>
      <c r="G38" s="5">
        <f t="shared" si="2"/>
        <v>31.565797686154838</v>
      </c>
      <c r="H38" s="1">
        <f t="shared" si="3"/>
        <v>-795584.6650044987</v>
      </c>
    </row>
    <row r="39" spans="1:8" ht="12.75">
      <c r="A39" s="16">
        <f>DADOS!A38</f>
        <v>41081</v>
      </c>
      <c r="B39">
        <f>DADOS!E38</f>
        <v>508</v>
      </c>
      <c r="C39">
        <f>DADOS!D38</f>
        <v>8.35</v>
      </c>
      <c r="D39">
        <f>DADOS!J38</f>
        <v>8.38</v>
      </c>
      <c r="E39" s="5">
        <f t="shared" si="0"/>
        <v>85072.5261084422</v>
      </c>
      <c r="F39" s="5">
        <f t="shared" si="1"/>
        <v>85025.03106232295</v>
      </c>
      <c r="G39" s="5">
        <f t="shared" si="2"/>
        <v>-47.49504611924931</v>
      </c>
      <c r="H39" s="1">
        <f t="shared" si="3"/>
        <v>-843079.711123748</v>
      </c>
    </row>
    <row r="40" spans="1:8" ht="12.75">
      <c r="A40" s="16">
        <f>DADOS!A39</f>
        <v>41082</v>
      </c>
      <c r="B40">
        <f>DADOS!E39</f>
        <v>507</v>
      </c>
      <c r="C40">
        <f>DADOS!D39</f>
        <v>8.33</v>
      </c>
      <c r="D40">
        <f>DADOS!J39</f>
        <v>8.36</v>
      </c>
      <c r="E40" s="5">
        <f t="shared" si="0"/>
        <v>85131.21626800398</v>
      </c>
      <c r="F40" s="5">
        <f t="shared" si="1"/>
        <v>85099.69740724823</v>
      </c>
      <c r="G40" s="5">
        <f t="shared" si="2"/>
        <v>-31.51886075575021</v>
      </c>
      <c r="H40" s="1">
        <f t="shared" si="3"/>
        <v>-874598.5718794982</v>
      </c>
    </row>
    <row r="41" spans="1:8" ht="12.75">
      <c r="A41" s="16">
        <f>DADOS!A40</f>
        <v>41085</v>
      </c>
      <c r="B41">
        <f>DADOS!E40</f>
        <v>506</v>
      </c>
      <c r="C41">
        <f>DADOS!D40</f>
        <v>8.22</v>
      </c>
      <c r="D41">
        <f>DADOS!J40</f>
        <v>8.38</v>
      </c>
      <c r="E41" s="5">
        <f t="shared" si="0"/>
        <v>85332.14424664417</v>
      </c>
      <c r="F41" s="5">
        <f t="shared" si="1"/>
        <v>85158.34394586981</v>
      </c>
      <c r="G41" s="5">
        <f t="shared" si="2"/>
        <v>-173.80030077435367</v>
      </c>
      <c r="H41" s="1">
        <f t="shared" si="3"/>
        <v>-1048398.8726538519</v>
      </c>
    </row>
    <row r="42" spans="1:8" ht="12.75">
      <c r="A42" s="16">
        <f>DADOS!A41</f>
        <v>41086</v>
      </c>
      <c r="B42">
        <f>DADOS!E41</f>
        <v>505</v>
      </c>
      <c r="C42">
        <f>DADOS!D41</f>
        <v>8.22</v>
      </c>
      <c r="D42">
        <f>DADOS!J41</f>
        <v>8.35</v>
      </c>
      <c r="E42" s="5">
        <f t="shared" si="0"/>
        <v>85358.89803737563</v>
      </c>
      <c r="F42" s="5">
        <f t="shared" si="1"/>
        <v>85359.39846484065</v>
      </c>
      <c r="G42" s="5">
        <f t="shared" si="2"/>
        <v>0.5004274650127627</v>
      </c>
      <c r="H42" s="1">
        <f t="shared" si="3"/>
        <v>-1047898.4451888391</v>
      </c>
    </row>
    <row r="43" spans="1:8" ht="12.75">
      <c r="A43" s="16">
        <f>DADOS!A42</f>
        <v>41087</v>
      </c>
      <c r="B43">
        <f>DADOS!E42</f>
        <v>504</v>
      </c>
      <c r="C43">
        <f>DADOS!D42</f>
        <v>8.23</v>
      </c>
      <c r="D43">
        <f>DADOS!J42</f>
        <v>8.37</v>
      </c>
      <c r="E43" s="5">
        <f t="shared" si="0"/>
        <v>85369.88238821801</v>
      </c>
      <c r="F43" s="5">
        <f t="shared" si="1"/>
        <v>85386.066996985</v>
      </c>
      <c r="G43" s="5">
        <f t="shared" si="2"/>
        <v>16.18460876698373</v>
      </c>
      <c r="H43" s="1">
        <f t="shared" si="3"/>
        <v>-1031713.8364218554</v>
      </c>
    </row>
    <row r="44" spans="1:8" ht="12.75">
      <c r="A44" s="16">
        <f>DADOS!A43</f>
        <v>41088</v>
      </c>
      <c r="B44">
        <f>DADOS!E43</f>
        <v>503</v>
      </c>
      <c r="C44">
        <f>DADOS!D43</f>
        <v>8.18</v>
      </c>
      <c r="D44">
        <f>DADOS!J43</f>
        <v>8.36</v>
      </c>
      <c r="E44" s="5">
        <f t="shared" si="0"/>
        <v>85475.4802649032</v>
      </c>
      <c r="F44" s="5">
        <f t="shared" si="1"/>
        <v>85397.11739061814</v>
      </c>
      <c r="G44" s="5">
        <f t="shared" si="2"/>
        <v>-78.36287428507057</v>
      </c>
      <c r="H44" s="1">
        <f t="shared" si="3"/>
        <v>-1110076.710706926</v>
      </c>
    </row>
    <row r="45" spans="1:8" ht="12.75">
      <c r="A45" s="16">
        <f>DADOS!A44</f>
        <v>41089</v>
      </c>
      <c r="B45">
        <f>DADOS!E44</f>
        <v>502</v>
      </c>
      <c r="C45">
        <f>DADOS!D44</f>
        <v>8.18</v>
      </c>
      <c r="D45">
        <f>DADOS!J44</f>
        <v>8.38</v>
      </c>
      <c r="E45" s="5">
        <f t="shared" si="0"/>
        <v>85502.15356275825</v>
      </c>
      <c r="F45" s="5">
        <f t="shared" si="1"/>
        <v>85502.71764498191</v>
      </c>
      <c r="G45" s="5">
        <f t="shared" si="2"/>
        <v>0.5640822236600798</v>
      </c>
      <c r="H45" s="1">
        <f t="shared" si="3"/>
        <v>-1109512.6284832659</v>
      </c>
    </row>
    <row r="46" spans="1:8" ht="12.75">
      <c r="A46" s="16">
        <f>DADOS!A45</f>
        <v>41092</v>
      </c>
      <c r="B46">
        <f>DADOS!E45</f>
        <v>501</v>
      </c>
      <c r="C46">
        <f>DADOS!D45</f>
        <v>8.12</v>
      </c>
      <c r="D46">
        <f>DADOS!J45</f>
        <v>8.36</v>
      </c>
      <c r="E46" s="5">
        <f t="shared" si="0"/>
        <v>85623.22258097118</v>
      </c>
      <c r="F46" s="5">
        <f t="shared" si="1"/>
        <v>85529.4620801996</v>
      </c>
      <c r="G46" s="5">
        <f t="shared" si="2"/>
        <v>-93.76050077157561</v>
      </c>
      <c r="H46" s="1">
        <f t="shared" si="3"/>
        <v>-1203273.1292548415</v>
      </c>
    </row>
    <row r="47" spans="1:8" ht="12.75">
      <c r="A47" s="16">
        <f>DADOS!A46</f>
        <v>41093</v>
      </c>
      <c r="B47">
        <f>DADOS!E46</f>
        <v>500</v>
      </c>
      <c r="C47">
        <f>DADOS!D46</f>
        <v>8.08</v>
      </c>
      <c r="D47">
        <f>DADOS!J46</f>
        <v>8.36</v>
      </c>
      <c r="E47" s="5">
        <f t="shared" si="0"/>
        <v>85712.65902378388</v>
      </c>
      <c r="F47" s="5">
        <f t="shared" si="1"/>
        <v>85650.5070402076</v>
      </c>
      <c r="G47" s="5">
        <f t="shared" si="2"/>
        <v>-62.15198357628833</v>
      </c>
      <c r="H47" s="1">
        <f t="shared" si="3"/>
        <v>-1265425.1128311297</v>
      </c>
    </row>
    <row r="48" spans="1:8" ht="12.75">
      <c r="A48" s="16">
        <f>DADOS!A47</f>
        <v>41094</v>
      </c>
      <c r="B48">
        <f>DADOS!E47</f>
        <v>499</v>
      </c>
      <c r="C48">
        <f>DADOS!D47</f>
        <v>8.16</v>
      </c>
      <c r="D48">
        <f>DADOS!J47</f>
        <v>8.37</v>
      </c>
      <c r="E48" s="5">
        <f t="shared" si="0"/>
        <v>85613.56248828376</v>
      </c>
      <c r="F48" s="5">
        <f t="shared" si="1"/>
        <v>85739.97198258975</v>
      </c>
      <c r="G48" s="5">
        <f t="shared" si="2"/>
        <v>126.40949430598994</v>
      </c>
      <c r="H48" s="1">
        <f t="shared" si="3"/>
        <v>-1139015.6185251398</v>
      </c>
    </row>
    <row r="49" spans="1:8" ht="12.75">
      <c r="A49" s="16">
        <f>DADOS!A48</f>
        <v>41095</v>
      </c>
      <c r="B49">
        <f>DADOS!E48</f>
        <v>498</v>
      </c>
      <c r="C49">
        <f>DADOS!D48</f>
        <v>8.23</v>
      </c>
      <c r="D49">
        <f>DADOS!J48</f>
        <v>8.36</v>
      </c>
      <c r="E49" s="5">
        <f t="shared" si="0"/>
        <v>85530.79021966385</v>
      </c>
      <c r="F49" s="5">
        <f t="shared" si="1"/>
        <v>85640.87523037291</v>
      </c>
      <c r="G49" s="5">
        <f t="shared" si="2"/>
        <v>110.08501070906641</v>
      </c>
      <c r="H49" s="1">
        <f t="shared" si="3"/>
        <v>-1028930.6078160733</v>
      </c>
    </row>
    <row r="50" spans="1:8" ht="12.75">
      <c r="A50" s="16">
        <f>DADOS!A49</f>
        <v>41096</v>
      </c>
      <c r="B50">
        <f>DADOS!E49</f>
        <v>497</v>
      </c>
      <c r="C50">
        <f>DADOS!D49</f>
        <v>8.12</v>
      </c>
      <c r="D50">
        <f>DADOS!J49</f>
        <v>8.34</v>
      </c>
      <c r="E50" s="5">
        <f t="shared" si="0"/>
        <v>85729.39528146938</v>
      </c>
      <c r="F50" s="5">
        <f t="shared" si="1"/>
        <v>85558.04522465971</v>
      </c>
      <c r="G50" s="5">
        <f t="shared" si="2"/>
        <v>-171.35005680966424</v>
      </c>
      <c r="H50" s="1">
        <f t="shared" si="3"/>
        <v>-1200280.6646257376</v>
      </c>
    </row>
    <row r="51" spans="1:8" ht="12.75">
      <c r="A51" s="16">
        <f>DADOS!A50</f>
        <v>41100</v>
      </c>
      <c r="B51">
        <f>DADOS!E50</f>
        <v>495</v>
      </c>
      <c r="C51">
        <f>DADOS!D50</f>
        <v>8.04</v>
      </c>
      <c r="D51">
        <f>DADOS!J50</f>
        <v>8.32</v>
      </c>
      <c r="E51" s="5">
        <f t="shared" si="0"/>
        <v>85907.34517647106</v>
      </c>
      <c r="F51" s="5">
        <f t="shared" si="1"/>
        <v>85756.65075766042</v>
      </c>
      <c r="G51" s="5">
        <f t="shared" si="2"/>
        <v>-150.69441881064267</v>
      </c>
      <c r="H51" s="1">
        <f t="shared" si="3"/>
        <v>-1350975.0834363801</v>
      </c>
    </row>
    <row r="52" spans="1:8" ht="12.75">
      <c r="A52" s="16">
        <f>DADOS!A51</f>
        <v>41101</v>
      </c>
      <c r="B52">
        <f>DADOS!E51</f>
        <v>494</v>
      </c>
      <c r="C52">
        <f>DADOS!D51</f>
        <v>7.92</v>
      </c>
      <c r="D52">
        <f>DADOS!J51</f>
        <v>8.3</v>
      </c>
      <c r="E52" s="5">
        <f t="shared" si="0"/>
        <v>86121.125240243</v>
      </c>
      <c r="F52" s="5">
        <f t="shared" si="1"/>
        <v>85934.59426958859</v>
      </c>
      <c r="G52" s="5">
        <f t="shared" si="2"/>
        <v>-186.5309706544067</v>
      </c>
      <c r="H52" s="1">
        <f t="shared" si="3"/>
        <v>-1537506.0540907867</v>
      </c>
    </row>
    <row r="53" spans="1:8" ht="12.75">
      <c r="A53" s="16">
        <f>DADOS!A52</f>
        <v>41102</v>
      </c>
      <c r="B53">
        <f>DADOS!E52</f>
        <v>493</v>
      </c>
      <c r="C53">
        <f>DADOS!D52</f>
        <v>7.99</v>
      </c>
      <c r="D53">
        <f>DADOS!J52</f>
        <v>7.85</v>
      </c>
      <c r="E53" s="5">
        <f t="shared" si="0"/>
        <v>86037.96618246127</v>
      </c>
      <c r="F53" s="5">
        <f t="shared" si="1"/>
        <v>86148.3790166278</v>
      </c>
      <c r="G53" s="5">
        <f t="shared" si="2"/>
        <v>110.4128341665346</v>
      </c>
      <c r="H53" s="1">
        <f t="shared" si="3"/>
        <v>-1427093.219924252</v>
      </c>
    </row>
    <row r="54" spans="1:8" ht="12.75">
      <c r="A54" s="16">
        <f>DADOS!A53</f>
        <v>41103</v>
      </c>
      <c r="B54">
        <f>DADOS!E53</f>
        <v>492</v>
      </c>
      <c r="C54">
        <f>DADOS!D53</f>
        <v>7.97</v>
      </c>
      <c r="D54">
        <f>DADOS!J53</f>
        <v>7.83</v>
      </c>
      <c r="E54" s="5">
        <f t="shared" si="0"/>
        <v>86095.34273110004</v>
      </c>
      <c r="F54" s="5">
        <f t="shared" si="1"/>
        <v>86063.77160405948</v>
      </c>
      <c r="G54" s="5">
        <f t="shared" si="2"/>
        <v>-31.571127040559077</v>
      </c>
      <c r="H54" s="1">
        <f t="shared" si="3"/>
        <v>-1458664.346964811</v>
      </c>
    </row>
    <row r="55" spans="1:8" ht="12.75">
      <c r="A55" s="16">
        <f>DADOS!A54</f>
        <v>41106</v>
      </c>
      <c r="B55">
        <f>DADOS!E54</f>
        <v>491</v>
      </c>
      <c r="C55">
        <f>DADOS!D54</f>
        <v>7.96</v>
      </c>
      <c r="D55">
        <f>DADOS!J54</f>
        <v>7.85</v>
      </c>
      <c r="E55" s="5">
        <f t="shared" si="0"/>
        <v>86137.0889075062</v>
      </c>
      <c r="F55" s="5">
        <f t="shared" si="1"/>
        <v>86121.10198064949</v>
      </c>
      <c r="G55" s="5">
        <f t="shared" si="2"/>
        <v>-15.986926856712671</v>
      </c>
      <c r="H55" s="1">
        <f t="shared" si="3"/>
        <v>-1474651.2738215236</v>
      </c>
    </row>
    <row r="56" spans="1:8" ht="12.75">
      <c r="A56" s="16">
        <f>DADOS!A55</f>
        <v>41107</v>
      </c>
      <c r="B56">
        <f>DADOS!E55</f>
        <v>490</v>
      </c>
      <c r="C56">
        <f>DADOS!D55</f>
        <v>8.06</v>
      </c>
      <c r="D56">
        <f>DADOS!J55</f>
        <v>7.82</v>
      </c>
      <c r="E56" s="5">
        <f t="shared" si="0"/>
        <v>86008.29715585486</v>
      </c>
      <c r="F56" s="5">
        <f t="shared" si="1"/>
        <v>86162.92405904601</v>
      </c>
      <c r="G56" s="5">
        <f t="shared" si="2"/>
        <v>154.62690319115063</v>
      </c>
      <c r="H56" s="1">
        <f t="shared" si="3"/>
        <v>-1320024.370630373</v>
      </c>
    </row>
    <row r="57" spans="1:8" ht="12.75">
      <c r="A57" s="16">
        <f>DADOS!A56</f>
        <v>41108</v>
      </c>
      <c r="B57">
        <f>DADOS!E56</f>
        <v>489</v>
      </c>
      <c r="C57">
        <f>DADOS!D56</f>
        <v>8.05</v>
      </c>
      <c r="D57">
        <f>DADOS!J56</f>
        <v>7.8</v>
      </c>
      <c r="E57" s="5">
        <f t="shared" si="0"/>
        <v>86050.20950588539</v>
      </c>
      <c r="F57" s="5">
        <f t="shared" si="1"/>
        <v>86033.9986989875</v>
      </c>
      <c r="G57" s="5">
        <f t="shared" si="2"/>
        <v>-16.21080689788505</v>
      </c>
      <c r="H57" s="1">
        <f t="shared" si="3"/>
        <v>-1336235.177528258</v>
      </c>
    </row>
    <row r="58" spans="1:8" ht="12.75">
      <c r="A58" s="16">
        <f>DADOS!A57</f>
        <v>41109</v>
      </c>
      <c r="B58">
        <f>DADOS!E57</f>
        <v>488</v>
      </c>
      <c r="C58">
        <f>DADOS!D57</f>
        <v>7.96</v>
      </c>
      <c r="D58">
        <f>DADOS!J57</f>
        <v>7.83</v>
      </c>
      <c r="E58" s="5">
        <f t="shared" si="0"/>
        <v>86215.66390874359</v>
      </c>
      <c r="F58" s="5">
        <f t="shared" si="1"/>
        <v>86075.86020816636</v>
      </c>
      <c r="G58" s="5">
        <f t="shared" si="2"/>
        <v>-139.80370057723485</v>
      </c>
      <c r="H58" s="1">
        <f t="shared" si="3"/>
        <v>-1476038.8781054928</v>
      </c>
    </row>
    <row r="59" spans="1:8" ht="12.75">
      <c r="A59" s="16">
        <f>DADOS!A58</f>
        <v>41110</v>
      </c>
      <c r="B59">
        <f>DADOS!E58</f>
        <v>487</v>
      </c>
      <c r="C59">
        <f>DADOS!D58</f>
        <v>8</v>
      </c>
      <c r="D59">
        <v>10.64</v>
      </c>
      <c r="E59" s="5">
        <f t="shared" si="0"/>
        <v>86180.15407233345</v>
      </c>
      <c r="F59" s="5">
        <f t="shared" si="1"/>
        <v>86241.45915772277</v>
      </c>
      <c r="G59" s="5">
        <f t="shared" si="2"/>
        <v>61.3050853893219</v>
      </c>
      <c r="H59" s="1">
        <f t="shared" si="3"/>
        <v>-1414733.792716171</v>
      </c>
    </row>
    <row r="60" spans="1:8" ht="12.75">
      <c r="A60" s="16">
        <f>DADOS!A59</f>
        <v>41113</v>
      </c>
      <c r="B60">
        <f>DADOS!E59</f>
        <v>486</v>
      </c>
      <c r="C60">
        <f>DADOS!D59</f>
        <v>7.96</v>
      </c>
      <c r="D60">
        <v>10.64</v>
      </c>
      <c r="E60" s="5">
        <f aca="true" t="shared" si="4" ref="E60:E123">100000/(1+C60/100)^(B60/252)</f>
        <v>86268.08705931099</v>
      </c>
      <c r="F60" s="5">
        <f aca="true" t="shared" si="5" ref="F60:F123">(1+D59/100)^(1/252)*E59</f>
        <v>86214.73960069392</v>
      </c>
      <c r="G60" s="5">
        <f aca="true" t="shared" si="6" ref="G60:G123">-E60+F60</f>
        <v>-53.34745861706324</v>
      </c>
      <c r="H60" s="1">
        <f aca="true" t="shared" si="7" ref="H60:H123">H59+G60*$K$2</f>
        <v>-1468081.2513332341</v>
      </c>
    </row>
    <row r="61" spans="1:8" ht="12.75">
      <c r="A61" s="16">
        <f>DADOS!A60</f>
        <v>41114</v>
      </c>
      <c r="B61">
        <f>DADOS!E60</f>
        <v>485</v>
      </c>
      <c r="C61">
        <f>DADOS!D60</f>
        <v>8.03</v>
      </c>
      <c r="D61">
        <v>10.64</v>
      </c>
      <c r="E61" s="5">
        <f t="shared" si="4"/>
        <v>86186.72677991267</v>
      </c>
      <c r="F61" s="5">
        <f t="shared" si="5"/>
        <v>86302.70787664081</v>
      </c>
      <c r="G61" s="5">
        <f t="shared" si="6"/>
        <v>115.98109672813735</v>
      </c>
      <c r="H61" s="1">
        <f t="shared" si="7"/>
        <v>-1352100.1546050967</v>
      </c>
    </row>
    <row r="62" spans="1:8" ht="12.75">
      <c r="A62" s="16">
        <f>DADOS!A61</f>
        <v>41115</v>
      </c>
      <c r="B62">
        <f>DADOS!E61</f>
        <v>484</v>
      </c>
      <c r="C62">
        <f>DADOS!D61</f>
        <v>7.97</v>
      </c>
      <c r="D62">
        <v>10.64</v>
      </c>
      <c r="E62" s="5">
        <f t="shared" si="4"/>
        <v>86305.18752607603</v>
      </c>
      <c r="F62" s="5">
        <f t="shared" si="5"/>
        <v>86221.31494600995</v>
      </c>
      <c r="G62" s="5">
        <f t="shared" si="6"/>
        <v>-83.8725800660759</v>
      </c>
      <c r="H62" s="1">
        <f t="shared" si="7"/>
        <v>-1435972.7346711727</v>
      </c>
    </row>
    <row r="63" spans="1:8" ht="12.75">
      <c r="A63" s="16">
        <f>DADOS!A62</f>
        <v>41116</v>
      </c>
      <c r="B63">
        <f>DADOS!E62</f>
        <v>483</v>
      </c>
      <c r="C63">
        <f>DADOS!D62</f>
        <v>8.04</v>
      </c>
      <c r="D63">
        <v>10.64</v>
      </c>
      <c r="E63" s="5">
        <f t="shared" si="4"/>
        <v>86224.27742636726</v>
      </c>
      <c r="F63" s="5">
        <f t="shared" si="5"/>
        <v>86339.82323243986</v>
      </c>
      <c r="G63" s="5">
        <f t="shared" si="6"/>
        <v>115.54580607259413</v>
      </c>
      <c r="H63" s="1">
        <f t="shared" si="7"/>
        <v>-1320426.9285985786</v>
      </c>
    </row>
    <row r="64" spans="1:8" ht="12.75">
      <c r="A64" s="16">
        <f>DADOS!A63</f>
        <v>41117</v>
      </c>
      <c r="B64">
        <f>DADOS!E63</f>
        <v>482</v>
      </c>
      <c r="C64">
        <f>DADOS!D63</f>
        <v>8.19</v>
      </c>
      <c r="D64">
        <v>10.64</v>
      </c>
      <c r="E64" s="5">
        <f t="shared" si="4"/>
        <v>86022.16097396504</v>
      </c>
      <c r="F64" s="5">
        <f t="shared" si="5"/>
        <v>86258.88066216315</v>
      </c>
      <c r="G64" s="5">
        <f t="shared" si="6"/>
        <v>236.71968819810718</v>
      </c>
      <c r="H64" s="1">
        <f t="shared" si="7"/>
        <v>-1083707.2404004713</v>
      </c>
    </row>
    <row r="65" spans="1:8" ht="12.75">
      <c r="A65" s="16">
        <f>DADOS!A64</f>
        <v>41120</v>
      </c>
      <c r="B65">
        <f>DADOS!E64</f>
        <v>481</v>
      </c>
      <c r="C65">
        <f>DADOS!D64</f>
        <v>8.16</v>
      </c>
      <c r="D65">
        <v>10.64</v>
      </c>
      <c r="E65" s="5">
        <f t="shared" si="4"/>
        <v>86094.59812366615</v>
      </c>
      <c r="F65" s="5">
        <f t="shared" si="5"/>
        <v>86056.6830970689</v>
      </c>
      <c r="G65" s="5">
        <f t="shared" si="6"/>
        <v>-37.915026597242104</v>
      </c>
      <c r="H65" s="1">
        <f t="shared" si="7"/>
        <v>-1121622.2669977134</v>
      </c>
    </row>
    <row r="66" spans="1:8" ht="12.75">
      <c r="A66" s="16">
        <f>DADOS!A65</f>
        <v>41121</v>
      </c>
      <c r="B66">
        <f>DADOS!E65</f>
        <v>480</v>
      </c>
      <c r="C66">
        <f>DADOS!D65</f>
        <v>8.17</v>
      </c>
      <c r="D66">
        <v>10.64</v>
      </c>
      <c r="E66" s="5">
        <f t="shared" si="4"/>
        <v>86106.23697974956</v>
      </c>
      <c r="F66" s="5">
        <f t="shared" si="5"/>
        <v>86129.14931700226</v>
      </c>
      <c r="G66" s="5">
        <f t="shared" si="6"/>
        <v>22.91233725269558</v>
      </c>
      <c r="H66" s="1">
        <f t="shared" si="7"/>
        <v>-1098709.9297450178</v>
      </c>
    </row>
    <row r="67" spans="1:8" ht="12.75">
      <c r="A67" s="16">
        <f>DADOS!A66</f>
        <v>41122</v>
      </c>
      <c r="B67">
        <f>DADOS!E66</f>
        <v>479</v>
      </c>
      <c r="C67">
        <f>DADOS!D66</f>
        <v>8.07</v>
      </c>
      <c r="D67">
        <v>10.64</v>
      </c>
      <c r="E67" s="5">
        <f t="shared" si="4"/>
        <v>86284.63416439026</v>
      </c>
      <c r="F67" s="5">
        <f t="shared" si="5"/>
        <v>86140.79284395209</v>
      </c>
      <c r="G67" s="5">
        <f t="shared" si="6"/>
        <v>-143.84132043816498</v>
      </c>
      <c r="H67" s="1">
        <f t="shared" si="7"/>
        <v>-1242551.2501831828</v>
      </c>
    </row>
    <row r="68" spans="1:8" ht="12.75">
      <c r="A68" s="16">
        <f>DADOS!A67</f>
        <v>41123</v>
      </c>
      <c r="B68">
        <f>DADOS!E67</f>
        <v>478</v>
      </c>
      <c r="C68">
        <f>DADOS!D67</f>
        <v>8.03</v>
      </c>
      <c r="D68">
        <v>10.64</v>
      </c>
      <c r="E68" s="5">
        <f t="shared" si="4"/>
        <v>86371.84078245578</v>
      </c>
      <c r="F68" s="5">
        <f t="shared" si="5"/>
        <v>86319.2616223484</v>
      </c>
      <c r="G68" s="5">
        <f t="shared" si="6"/>
        <v>-52.579160107387</v>
      </c>
      <c r="H68" s="1">
        <f t="shared" si="7"/>
        <v>-1295130.4102905698</v>
      </c>
    </row>
    <row r="69" spans="1:8" ht="12.75">
      <c r="A69" s="16">
        <f>DADOS!A68</f>
        <v>41124</v>
      </c>
      <c r="B69">
        <f>DADOS!E68</f>
        <v>477</v>
      </c>
      <c r="C69">
        <f>DADOS!D68</f>
        <v>8.08</v>
      </c>
      <c r="D69">
        <v>10.64</v>
      </c>
      <c r="E69" s="5">
        <f t="shared" si="4"/>
        <v>86322.67693225517</v>
      </c>
      <c r="F69" s="5">
        <f t="shared" si="5"/>
        <v>86406.50323787934</v>
      </c>
      <c r="G69" s="5">
        <f t="shared" si="6"/>
        <v>83.82630562417035</v>
      </c>
      <c r="H69" s="1">
        <f t="shared" si="7"/>
        <v>-1211304.1046663993</v>
      </c>
    </row>
    <row r="70" spans="1:8" ht="12.75">
      <c r="A70" s="16">
        <f>DADOS!A69</f>
        <v>41127</v>
      </c>
      <c r="B70">
        <f>DADOS!E69</f>
        <v>476</v>
      </c>
      <c r="C70">
        <f>DADOS!D69</f>
        <v>8.1</v>
      </c>
      <c r="D70">
        <v>10.64</v>
      </c>
      <c r="E70" s="5">
        <f t="shared" si="4"/>
        <v>86319.12364711007</v>
      </c>
      <c r="F70" s="5">
        <f t="shared" si="5"/>
        <v>86357.31965740841</v>
      </c>
      <c r="G70" s="5">
        <f t="shared" si="6"/>
        <v>38.196010298343026</v>
      </c>
      <c r="H70" s="1">
        <f t="shared" si="7"/>
        <v>-1173108.0943680564</v>
      </c>
    </row>
    <row r="71" spans="1:8" ht="12.75">
      <c r="A71" s="16">
        <f>DADOS!A70</f>
        <v>41128</v>
      </c>
      <c r="B71">
        <f>DADOS!E70</f>
        <v>475</v>
      </c>
      <c r="C71">
        <f>DADOS!D70</f>
        <v>8.07</v>
      </c>
      <c r="D71">
        <v>10.64</v>
      </c>
      <c r="E71" s="5">
        <f t="shared" si="4"/>
        <v>86390.99271567646</v>
      </c>
      <c r="F71" s="5">
        <f t="shared" si="5"/>
        <v>86353.76494627092</v>
      </c>
      <c r="G71" s="5">
        <f t="shared" si="6"/>
        <v>-37.2277694055374</v>
      </c>
      <c r="H71" s="1">
        <f t="shared" si="7"/>
        <v>-1210335.8637735937</v>
      </c>
    </row>
    <row r="72" spans="1:8" ht="12.75">
      <c r="A72" s="16">
        <f>DADOS!A71</f>
        <v>41129</v>
      </c>
      <c r="B72">
        <f>DADOS!E71</f>
        <v>474</v>
      </c>
      <c r="C72">
        <f>DADOS!D71</f>
        <v>8.09</v>
      </c>
      <c r="D72">
        <v>10.64</v>
      </c>
      <c r="E72" s="5">
        <f t="shared" si="4"/>
        <v>86387.52897725753</v>
      </c>
      <c r="F72" s="5">
        <f t="shared" si="5"/>
        <v>86425.66285708918</v>
      </c>
      <c r="G72" s="5">
        <f t="shared" si="6"/>
        <v>38.133879831642844</v>
      </c>
      <c r="H72" s="1">
        <f t="shared" si="7"/>
        <v>-1172201.9839419508</v>
      </c>
    </row>
    <row r="73" spans="1:8" ht="12.75">
      <c r="A73" s="16">
        <f>DADOS!A72</f>
        <v>41130</v>
      </c>
      <c r="B73">
        <f>DADOS!E72</f>
        <v>473</v>
      </c>
      <c r="C73">
        <f>DADOS!D72</f>
        <v>8.1</v>
      </c>
      <c r="D73">
        <v>10.64</v>
      </c>
      <c r="E73" s="5">
        <f t="shared" si="4"/>
        <v>86399.19764261079</v>
      </c>
      <c r="F73" s="5">
        <f t="shared" si="5"/>
        <v>86422.19772861445</v>
      </c>
      <c r="G73" s="5">
        <f t="shared" si="6"/>
        <v>23.000086003667093</v>
      </c>
      <c r="H73" s="1">
        <f t="shared" si="7"/>
        <v>-1149201.8979382836</v>
      </c>
    </row>
    <row r="74" spans="1:8" ht="12.75">
      <c r="A74" s="16">
        <f>DADOS!A73</f>
        <v>41131</v>
      </c>
      <c r="B74">
        <f>DADOS!E73</f>
        <v>472</v>
      </c>
      <c r="C74">
        <f>DADOS!D73</f>
        <v>8.19</v>
      </c>
      <c r="D74">
        <v>10.64</v>
      </c>
      <c r="E74" s="5">
        <f t="shared" si="4"/>
        <v>86291.29370297892</v>
      </c>
      <c r="F74" s="5">
        <f t="shared" si="5"/>
        <v>86433.87107679706</v>
      </c>
      <c r="G74" s="5">
        <f t="shared" si="6"/>
        <v>142.57737381814513</v>
      </c>
      <c r="H74" s="1">
        <f t="shared" si="7"/>
        <v>-1006624.5241201385</v>
      </c>
    </row>
    <row r="75" spans="1:8" ht="12.75">
      <c r="A75" s="16">
        <f>DADOS!A74</f>
        <v>41134</v>
      </c>
      <c r="B75">
        <f>DADOS!E74</f>
        <v>471</v>
      </c>
      <c r="C75">
        <f>DADOS!D74</f>
        <v>8.11</v>
      </c>
      <c r="D75">
        <v>10.64</v>
      </c>
      <c r="E75" s="5">
        <f t="shared" si="4"/>
        <v>86437.6759052221</v>
      </c>
      <c r="F75" s="5">
        <f t="shared" si="5"/>
        <v>86325.92383352059</v>
      </c>
      <c r="G75" s="5">
        <f t="shared" si="6"/>
        <v>-111.75207170151407</v>
      </c>
      <c r="H75" s="1">
        <f t="shared" si="7"/>
        <v>-1118376.5958216526</v>
      </c>
    </row>
    <row r="76" spans="1:8" ht="12.75">
      <c r="A76" s="16">
        <f>DADOS!A75</f>
        <v>41135</v>
      </c>
      <c r="B76">
        <f>DADOS!E75</f>
        <v>470</v>
      </c>
      <c r="C76">
        <f>DADOS!D75</f>
        <v>8.13</v>
      </c>
      <c r="D76">
        <v>10.64</v>
      </c>
      <c r="E76" s="5">
        <f t="shared" si="4"/>
        <v>86434.60214162782</v>
      </c>
      <c r="F76" s="5">
        <f t="shared" si="5"/>
        <v>86472.36478137478</v>
      </c>
      <c r="G76" s="5">
        <f t="shared" si="6"/>
        <v>37.762639746957575</v>
      </c>
      <c r="H76" s="1">
        <f t="shared" si="7"/>
        <v>-1080613.956074695</v>
      </c>
    </row>
    <row r="77" spans="1:8" ht="12.75">
      <c r="A77" s="16">
        <f>DADOS!A76</f>
        <v>41136</v>
      </c>
      <c r="B77">
        <f>DADOS!E76</f>
        <v>469</v>
      </c>
      <c r="C77">
        <f>DADOS!D76</f>
        <v>8.11</v>
      </c>
      <c r="D77">
        <v>10.64</v>
      </c>
      <c r="E77" s="5">
        <f t="shared" si="4"/>
        <v>86491.18712158872</v>
      </c>
      <c r="F77" s="5">
        <f t="shared" si="5"/>
        <v>86469.28978422807</v>
      </c>
      <c r="G77" s="5">
        <f t="shared" si="6"/>
        <v>-21.89733736065682</v>
      </c>
      <c r="H77" s="1">
        <f t="shared" si="7"/>
        <v>-1102511.293435352</v>
      </c>
    </row>
    <row r="78" spans="1:8" ht="12.75">
      <c r="A78" s="16">
        <f>DADOS!A77</f>
        <v>41137</v>
      </c>
      <c r="B78">
        <f>DADOS!E77</f>
        <v>468</v>
      </c>
      <c r="C78">
        <f>DADOS!D77</f>
        <v>8.25</v>
      </c>
      <c r="D78">
        <v>10.64</v>
      </c>
      <c r="E78" s="5">
        <f t="shared" si="4"/>
        <v>86310.26739701923</v>
      </c>
      <c r="F78" s="5">
        <f t="shared" si="5"/>
        <v>86525.89747268202</v>
      </c>
      <c r="G78" s="5">
        <f t="shared" si="6"/>
        <v>215.63007566278975</v>
      </c>
      <c r="H78" s="1">
        <f t="shared" si="7"/>
        <v>-886881.2177725622</v>
      </c>
    </row>
    <row r="79" spans="1:8" ht="12.75">
      <c r="A79" s="16">
        <f>DADOS!A78</f>
        <v>41138</v>
      </c>
      <c r="B79">
        <f>DADOS!E78</f>
        <v>467</v>
      </c>
      <c r="C79">
        <f>DADOS!D78</f>
        <v>8.24</v>
      </c>
      <c r="D79">
        <v>10.64</v>
      </c>
      <c r="E79" s="5">
        <f t="shared" si="4"/>
        <v>86352.2052098816</v>
      </c>
      <c r="F79" s="5">
        <f t="shared" si="5"/>
        <v>86344.9051420197</v>
      </c>
      <c r="G79" s="5">
        <f t="shared" si="6"/>
        <v>-7.3000678618991515</v>
      </c>
      <c r="H79" s="1">
        <f t="shared" si="7"/>
        <v>-894181.2856344613</v>
      </c>
    </row>
    <row r="80" spans="1:8" ht="12.75">
      <c r="A80" s="16">
        <f>DADOS!A79</f>
        <v>41141</v>
      </c>
      <c r="B80">
        <f>DADOS!E79</f>
        <v>466</v>
      </c>
      <c r="C80">
        <f>DADOS!D79</f>
        <v>8.31</v>
      </c>
      <c r="D80">
        <v>10.64</v>
      </c>
      <c r="E80" s="5">
        <f t="shared" si="4"/>
        <v>86276.136013158</v>
      </c>
      <c r="F80" s="5">
        <f t="shared" si="5"/>
        <v>86386.8597852235</v>
      </c>
      <c r="G80" s="5">
        <f t="shared" si="6"/>
        <v>110.72377206549572</v>
      </c>
      <c r="H80" s="1">
        <f t="shared" si="7"/>
        <v>-783457.5135689656</v>
      </c>
    </row>
    <row r="81" spans="1:8" ht="12.75">
      <c r="A81" s="16">
        <f>DADOS!A80</f>
        <v>41142</v>
      </c>
      <c r="B81">
        <f>DADOS!E80</f>
        <v>465</v>
      </c>
      <c r="C81">
        <f>DADOS!D80</f>
        <v>8.28</v>
      </c>
      <c r="D81">
        <v>10.64</v>
      </c>
      <c r="E81" s="5">
        <f t="shared" si="4"/>
        <v>86347.59747802504</v>
      </c>
      <c r="F81" s="5">
        <f t="shared" si="5"/>
        <v>86310.76006066678</v>
      </c>
      <c r="G81" s="5">
        <f t="shared" si="6"/>
        <v>-36.83741735825606</v>
      </c>
      <c r="H81" s="1">
        <f t="shared" si="7"/>
        <v>-820294.9309272217</v>
      </c>
    </row>
    <row r="82" spans="1:8" ht="12.75">
      <c r="A82" s="16">
        <f>DADOS!A81</f>
        <v>41143</v>
      </c>
      <c r="B82">
        <f>DADOS!E81</f>
        <v>464</v>
      </c>
      <c r="C82">
        <f>DADOS!D81</f>
        <v>8.32</v>
      </c>
      <c r="D82">
        <v>10.64</v>
      </c>
      <c r="E82" s="5">
        <f t="shared" si="4"/>
        <v>86316.13926540976</v>
      </c>
      <c r="F82" s="5">
        <f t="shared" si="5"/>
        <v>86382.25020420755</v>
      </c>
      <c r="G82" s="5">
        <f t="shared" si="6"/>
        <v>66.11093879779219</v>
      </c>
      <c r="H82" s="1">
        <f t="shared" si="7"/>
        <v>-754183.9921294295</v>
      </c>
    </row>
    <row r="83" spans="1:8" ht="12.75">
      <c r="A83" s="16">
        <f>DADOS!A82</f>
        <v>41144</v>
      </c>
      <c r="B83">
        <f>DADOS!E82</f>
        <v>463</v>
      </c>
      <c r="C83">
        <f>DADOS!D82</f>
        <v>8.37</v>
      </c>
      <c r="D83">
        <v>10.64</v>
      </c>
      <c r="E83" s="5">
        <f t="shared" si="4"/>
        <v>86270.3388977516</v>
      </c>
      <c r="F83" s="5">
        <f t="shared" si="5"/>
        <v>86350.77936688863</v>
      </c>
      <c r="G83" s="5">
        <f t="shared" si="6"/>
        <v>80.44046913702914</v>
      </c>
      <c r="H83" s="1">
        <f t="shared" si="7"/>
        <v>-673743.5229924003</v>
      </c>
    </row>
    <row r="84" spans="1:8" ht="12.75">
      <c r="A84" s="16">
        <f>DADOS!A83</f>
        <v>41145</v>
      </c>
      <c r="B84">
        <f>DADOS!E83</f>
        <v>462</v>
      </c>
      <c r="C84">
        <f>DADOS!D83</f>
        <v>8.34</v>
      </c>
      <c r="D84">
        <v>10.64</v>
      </c>
      <c r="E84" s="5">
        <f t="shared" si="4"/>
        <v>86341.67628587771</v>
      </c>
      <c r="F84" s="5">
        <f t="shared" si="5"/>
        <v>86304.96061878161</v>
      </c>
      <c r="G84" s="5">
        <f t="shared" si="6"/>
        <v>-36.715667096097604</v>
      </c>
      <c r="H84" s="1">
        <f t="shared" si="7"/>
        <v>-710459.1900884979</v>
      </c>
    </row>
    <row r="85" spans="1:8" ht="12.75">
      <c r="A85" s="16">
        <f>DADOS!A84</f>
        <v>41148</v>
      </c>
      <c r="B85">
        <f>DADOS!E84</f>
        <v>461</v>
      </c>
      <c r="C85">
        <f>DADOS!D84</f>
        <v>8.26</v>
      </c>
      <c r="D85">
        <v>10.64</v>
      </c>
      <c r="E85" s="5">
        <f t="shared" si="4"/>
        <v>86485.91864632303</v>
      </c>
      <c r="F85" s="5">
        <f t="shared" si="5"/>
        <v>86376.32663578738</v>
      </c>
      <c r="G85" s="5">
        <f t="shared" si="6"/>
        <v>-109.59201053564902</v>
      </c>
      <c r="H85" s="1">
        <f t="shared" si="7"/>
        <v>-820051.200624147</v>
      </c>
    </row>
    <row r="86" spans="1:8" ht="12.75">
      <c r="A86" s="16">
        <f>DADOS!A85</f>
        <v>41149</v>
      </c>
      <c r="B86">
        <f>DADOS!E85</f>
        <v>460</v>
      </c>
      <c r="C86">
        <f>DADOS!D85</f>
        <v>8.18</v>
      </c>
      <c r="D86">
        <v>10.64</v>
      </c>
      <c r="E86" s="5">
        <f t="shared" si="4"/>
        <v>86629.98045060044</v>
      </c>
      <c r="F86" s="5">
        <f t="shared" si="5"/>
        <v>86520.62688308962</v>
      </c>
      <c r="G86" s="5">
        <f t="shared" si="6"/>
        <v>-109.35356751082873</v>
      </c>
      <c r="H86" s="1">
        <f t="shared" si="7"/>
        <v>-929404.7681349757</v>
      </c>
    </row>
    <row r="87" spans="1:8" ht="12.75">
      <c r="A87" s="16">
        <f>DADOS!A86</f>
        <v>41150</v>
      </c>
      <c r="B87">
        <f>DADOS!E86</f>
        <v>459</v>
      </c>
      <c r="C87">
        <f>DADOS!D86</f>
        <v>8.13</v>
      </c>
      <c r="D87">
        <v>10.64</v>
      </c>
      <c r="E87" s="5">
        <f t="shared" si="4"/>
        <v>86730.01389765128</v>
      </c>
      <c r="F87" s="5">
        <f t="shared" si="5"/>
        <v>86664.74650176376</v>
      </c>
      <c r="G87" s="5">
        <f t="shared" si="6"/>
        <v>-65.26739588752389</v>
      </c>
      <c r="H87" s="1">
        <f t="shared" si="7"/>
        <v>-994672.1640224996</v>
      </c>
    </row>
    <row r="88" spans="1:8" ht="12.75">
      <c r="A88" s="16">
        <f>DADOS!A87</f>
        <v>41151</v>
      </c>
      <c r="B88">
        <f>DADOS!E87</f>
        <v>458</v>
      </c>
      <c r="C88">
        <f>DADOS!D87</f>
        <v>8.2</v>
      </c>
      <c r="D88">
        <v>10.64</v>
      </c>
      <c r="E88" s="5">
        <f t="shared" si="4"/>
        <v>86654.93718324139</v>
      </c>
      <c r="F88" s="5">
        <f t="shared" si="5"/>
        <v>86764.82009389972</v>
      </c>
      <c r="G88" s="5">
        <f t="shared" si="6"/>
        <v>109.88291065832891</v>
      </c>
      <c r="H88" s="1">
        <f t="shared" si="7"/>
        <v>-884789.2533641707</v>
      </c>
    </row>
    <row r="89" spans="1:8" ht="12.75">
      <c r="A89" s="16">
        <f>DADOS!A88</f>
        <v>41152</v>
      </c>
      <c r="B89">
        <f>DADOS!E88</f>
        <v>457</v>
      </c>
      <c r="C89">
        <f>DADOS!D88</f>
        <v>8.19</v>
      </c>
      <c r="D89">
        <v>10.64</v>
      </c>
      <c r="E89" s="5">
        <f t="shared" si="4"/>
        <v>86696.57240792186</v>
      </c>
      <c r="F89" s="5">
        <f t="shared" si="5"/>
        <v>86689.71324995636</v>
      </c>
      <c r="G89" s="5">
        <f t="shared" si="6"/>
        <v>-6.859157965503982</v>
      </c>
      <c r="H89" s="1">
        <f t="shared" si="7"/>
        <v>-891648.4113296747</v>
      </c>
    </row>
    <row r="90" spans="1:8" ht="12.75">
      <c r="A90" s="16">
        <f>DADOS!A89</f>
        <v>41155</v>
      </c>
      <c r="B90">
        <f>DADOS!E89</f>
        <v>456</v>
      </c>
      <c r="C90">
        <f>DADOS!D89</f>
        <v>8.11</v>
      </c>
      <c r="D90">
        <v>10.64</v>
      </c>
      <c r="E90" s="5">
        <f t="shared" si="4"/>
        <v>86839.81842398427</v>
      </c>
      <c r="F90" s="5">
        <f t="shared" si="5"/>
        <v>86731.36518354458</v>
      </c>
      <c r="G90" s="5">
        <f t="shared" si="6"/>
        <v>-108.45324043968867</v>
      </c>
      <c r="H90" s="1">
        <f t="shared" si="7"/>
        <v>-1000101.6517693633</v>
      </c>
    </row>
    <row r="91" spans="1:8" ht="12.75">
      <c r="A91" s="16">
        <f>DADOS!A90</f>
        <v>41156</v>
      </c>
      <c r="B91">
        <f>DADOS!E90</f>
        <v>455</v>
      </c>
      <c r="C91">
        <f>DADOS!D90</f>
        <v>8.15</v>
      </c>
      <c r="D91">
        <v>10.64</v>
      </c>
      <c r="E91" s="5">
        <f t="shared" si="4"/>
        <v>86808.69369373003</v>
      </c>
      <c r="F91" s="5">
        <f t="shared" si="5"/>
        <v>86874.66868661434</v>
      </c>
      <c r="G91" s="5">
        <f t="shared" si="6"/>
        <v>65.97499288430845</v>
      </c>
      <c r="H91" s="1">
        <f t="shared" si="7"/>
        <v>-934126.6588850549</v>
      </c>
    </row>
    <row r="92" spans="1:8" ht="12.75">
      <c r="A92" s="16">
        <f>DADOS!A91</f>
        <v>41157</v>
      </c>
      <c r="B92">
        <f>DADOS!E91</f>
        <v>454</v>
      </c>
      <c r="C92">
        <f>DADOS!D91</f>
        <v>8.16</v>
      </c>
      <c r="D92">
        <v>10.64</v>
      </c>
      <c r="E92" s="5">
        <f t="shared" si="4"/>
        <v>86821.22404598504</v>
      </c>
      <c r="F92" s="5">
        <f t="shared" si="5"/>
        <v>86843.53146548849</v>
      </c>
      <c r="G92" s="5">
        <f t="shared" si="6"/>
        <v>22.30741950344236</v>
      </c>
      <c r="H92" s="1">
        <f t="shared" si="7"/>
        <v>-911819.2393816125</v>
      </c>
    </row>
    <row r="93" spans="1:8" ht="12.75">
      <c r="A93" s="16">
        <f>DADOS!A92</f>
        <v>41158</v>
      </c>
      <c r="B93">
        <f>DADOS!E92</f>
        <v>453</v>
      </c>
      <c r="C93">
        <f>DADOS!D92</f>
        <v>8.19</v>
      </c>
      <c r="D93">
        <v>10.64</v>
      </c>
      <c r="E93" s="5">
        <f t="shared" si="4"/>
        <v>86804.96783182051</v>
      </c>
      <c r="F93" s="5">
        <f t="shared" si="5"/>
        <v>86856.06684638213</v>
      </c>
      <c r="G93" s="5">
        <f t="shared" si="6"/>
        <v>51.099014561623335</v>
      </c>
      <c r="H93" s="1">
        <f t="shared" si="7"/>
        <v>-860720.2248199892</v>
      </c>
    </row>
    <row r="94" spans="1:8" ht="12.75">
      <c r="A94" s="16">
        <f>DADOS!A93</f>
        <v>41162</v>
      </c>
      <c r="B94">
        <f>DADOS!E93</f>
        <v>452</v>
      </c>
      <c r="C94">
        <f>DADOS!D93</f>
        <v>8.23</v>
      </c>
      <c r="D94">
        <v>10.64</v>
      </c>
      <c r="E94" s="5">
        <f t="shared" si="4"/>
        <v>86774.53501546939</v>
      </c>
      <c r="F94" s="5">
        <f t="shared" si="5"/>
        <v>86839.80410832865</v>
      </c>
      <c r="G94" s="5">
        <f t="shared" si="6"/>
        <v>65.26909285926376</v>
      </c>
      <c r="H94" s="1">
        <f t="shared" si="7"/>
        <v>-795451.1319607254</v>
      </c>
    </row>
    <row r="95" spans="1:8" ht="12.75">
      <c r="A95" s="16">
        <f>DADOS!A94</f>
        <v>41163</v>
      </c>
      <c r="B95">
        <f>DADOS!E94</f>
        <v>451</v>
      </c>
      <c r="C95">
        <f>DADOS!D94</f>
        <v>8.18</v>
      </c>
      <c r="D95">
        <v>10.64</v>
      </c>
      <c r="E95" s="5">
        <f t="shared" si="4"/>
        <v>86873.5864879212</v>
      </c>
      <c r="F95" s="5">
        <f t="shared" si="5"/>
        <v>86809.35907878245</v>
      </c>
      <c r="G95" s="5">
        <f t="shared" si="6"/>
        <v>-64.22740913875168</v>
      </c>
      <c r="H95" s="1">
        <f t="shared" si="7"/>
        <v>-859678.5410994771</v>
      </c>
    </row>
    <row r="96" spans="1:8" ht="12.75">
      <c r="A96" s="16">
        <f>DADOS!A95</f>
        <v>41164</v>
      </c>
      <c r="B96">
        <f>DADOS!E95</f>
        <v>450</v>
      </c>
      <c r="C96">
        <f>DADOS!D95</f>
        <v>8.15</v>
      </c>
      <c r="D96">
        <v>10.64</v>
      </c>
      <c r="E96" s="5">
        <f t="shared" si="4"/>
        <v>86943.74648497891</v>
      </c>
      <c r="F96" s="5">
        <f t="shared" si="5"/>
        <v>86908.45030223664</v>
      </c>
      <c r="G96" s="5">
        <f t="shared" si="6"/>
        <v>-35.29618274226959</v>
      </c>
      <c r="H96" s="1">
        <f t="shared" si="7"/>
        <v>-894974.7238417467</v>
      </c>
    </row>
    <row r="97" spans="1:8" ht="12.75">
      <c r="A97" s="16">
        <f>DADOS!A96</f>
        <v>41165</v>
      </c>
      <c r="B97">
        <f>DADOS!E96</f>
        <v>449</v>
      </c>
      <c r="C97">
        <f>DADOS!D96</f>
        <v>8.15</v>
      </c>
      <c r="D97">
        <v>10.64</v>
      </c>
      <c r="E97" s="5">
        <f t="shared" si="4"/>
        <v>86970.78224581253</v>
      </c>
      <c r="F97" s="5">
        <f t="shared" si="5"/>
        <v>86978.6384556674</v>
      </c>
      <c r="G97" s="5">
        <f t="shared" si="6"/>
        <v>7.8562098548718495</v>
      </c>
      <c r="H97" s="1">
        <f t="shared" si="7"/>
        <v>-887118.5139868748</v>
      </c>
    </row>
    <row r="98" spans="1:8" ht="12.75">
      <c r="A98" s="16">
        <f>DADOS!A97</f>
        <v>41166</v>
      </c>
      <c r="B98">
        <f>DADOS!E97</f>
        <v>448</v>
      </c>
      <c r="C98">
        <f>DADOS!D97</f>
        <v>8.16</v>
      </c>
      <c r="D98">
        <v>10.64</v>
      </c>
      <c r="E98" s="5">
        <f t="shared" si="4"/>
        <v>86983.5274822444</v>
      </c>
      <c r="F98" s="5">
        <f t="shared" si="5"/>
        <v>87005.68506640125</v>
      </c>
      <c r="G98" s="5">
        <f t="shared" si="6"/>
        <v>22.15758415684104</v>
      </c>
      <c r="H98" s="1">
        <f t="shared" si="7"/>
        <v>-864960.9298300338</v>
      </c>
    </row>
    <row r="99" spans="1:8" ht="12.75">
      <c r="A99" s="16">
        <f>DADOS!A98</f>
        <v>41169</v>
      </c>
      <c r="B99">
        <f>DADOS!E98</f>
        <v>447</v>
      </c>
      <c r="C99">
        <f>DADOS!D98</f>
        <v>8.16</v>
      </c>
      <c r="D99">
        <v>10.64</v>
      </c>
      <c r="E99" s="5">
        <f t="shared" si="4"/>
        <v>87010.60753781929</v>
      </c>
      <c r="F99" s="5">
        <f t="shared" si="5"/>
        <v>87018.43541770836</v>
      </c>
      <c r="G99" s="5">
        <f t="shared" si="6"/>
        <v>7.8278798890678445</v>
      </c>
      <c r="H99" s="1">
        <f t="shared" si="7"/>
        <v>-857133.049940966</v>
      </c>
    </row>
    <row r="100" spans="1:8" ht="12.75">
      <c r="A100" s="16">
        <f>DADOS!A99</f>
        <v>41170</v>
      </c>
      <c r="B100">
        <f>DADOS!E99</f>
        <v>446</v>
      </c>
      <c r="C100">
        <f>DADOS!D99</f>
        <v>8.19</v>
      </c>
      <c r="D100">
        <v>10.64</v>
      </c>
      <c r="E100" s="5">
        <f t="shared" si="4"/>
        <v>86994.98603301309</v>
      </c>
      <c r="F100" s="5">
        <f t="shared" si="5"/>
        <v>87045.5263409597</v>
      </c>
      <c r="G100" s="5">
        <f t="shared" si="6"/>
        <v>50.540307946605026</v>
      </c>
      <c r="H100" s="1">
        <f t="shared" si="7"/>
        <v>-806592.7419943609</v>
      </c>
    </row>
    <row r="101" spans="1:8" ht="12.75">
      <c r="A101" s="16">
        <f>DADOS!A100</f>
        <v>41171</v>
      </c>
      <c r="B101">
        <f>DADOS!E100</f>
        <v>445</v>
      </c>
      <c r="C101">
        <f>DADOS!D100</f>
        <v>8.2</v>
      </c>
      <c r="D101">
        <v>10.64</v>
      </c>
      <c r="E101" s="5">
        <f t="shared" si="4"/>
        <v>87007.96351561106</v>
      </c>
      <c r="F101" s="5">
        <f t="shared" si="5"/>
        <v>87029.89856698395</v>
      </c>
      <c r="G101" s="5">
        <f t="shared" si="6"/>
        <v>21.935051372885937</v>
      </c>
      <c r="H101" s="1">
        <f t="shared" si="7"/>
        <v>-784657.690621475</v>
      </c>
    </row>
    <row r="102" spans="1:8" ht="12.75">
      <c r="A102" s="16">
        <f>DADOS!A101</f>
        <v>41172</v>
      </c>
      <c r="B102">
        <f>DADOS!E101</f>
        <v>444</v>
      </c>
      <c r="C102">
        <f>DADOS!D101</f>
        <v>8.17</v>
      </c>
      <c r="D102">
        <v>10.64</v>
      </c>
      <c r="E102" s="5">
        <f t="shared" si="4"/>
        <v>87077.7130142162</v>
      </c>
      <c r="F102" s="5">
        <f t="shared" si="5"/>
        <v>87042.8812576614</v>
      </c>
      <c r="G102" s="5">
        <f t="shared" si="6"/>
        <v>-34.83175655480591</v>
      </c>
      <c r="H102" s="1">
        <f t="shared" si="7"/>
        <v>-819489.4471762809</v>
      </c>
    </row>
    <row r="103" spans="1:8" ht="12.75">
      <c r="A103" s="16">
        <f>DADOS!A102</f>
        <v>41173</v>
      </c>
      <c r="B103">
        <f>DADOS!E102</f>
        <v>443</v>
      </c>
      <c r="C103">
        <f>DADOS!D102</f>
        <v>8.15</v>
      </c>
      <c r="D103">
        <v>10.64</v>
      </c>
      <c r="E103" s="5">
        <f t="shared" si="4"/>
        <v>87133.173448443</v>
      </c>
      <c r="F103" s="5">
        <f t="shared" si="5"/>
        <v>87112.65874789975</v>
      </c>
      <c r="G103" s="5">
        <f t="shared" si="6"/>
        <v>-20.51470054325182</v>
      </c>
      <c r="H103" s="1">
        <f t="shared" si="7"/>
        <v>-840004.1477195327</v>
      </c>
    </row>
    <row r="104" spans="1:8" ht="12.75">
      <c r="A104" s="16">
        <f>DADOS!A103</f>
        <v>41176</v>
      </c>
      <c r="B104">
        <f>DADOS!E103</f>
        <v>442</v>
      </c>
      <c r="C104">
        <f>DADOS!D103</f>
        <v>8.1</v>
      </c>
      <c r="D104">
        <v>10.64</v>
      </c>
      <c r="E104" s="5">
        <f t="shared" si="4"/>
        <v>87230.99105418318</v>
      </c>
      <c r="F104" s="5">
        <f t="shared" si="5"/>
        <v>87168.1414393207</v>
      </c>
      <c r="G104" s="5">
        <f t="shared" si="6"/>
        <v>-62.84961486248358</v>
      </c>
      <c r="H104" s="1">
        <f t="shared" si="7"/>
        <v>-902853.7625820163</v>
      </c>
    </row>
    <row r="105" spans="1:8" ht="12.75">
      <c r="A105" s="16">
        <f>DADOS!A104</f>
        <v>41177</v>
      </c>
      <c r="B105">
        <f>DADOS!E104</f>
        <v>441</v>
      </c>
      <c r="C105">
        <f>DADOS!D104</f>
        <v>8.06</v>
      </c>
      <c r="D105">
        <v>10.64</v>
      </c>
      <c r="E105" s="5">
        <f t="shared" si="4"/>
        <v>87314.48854057721</v>
      </c>
      <c r="F105" s="5">
        <f t="shared" si="5"/>
        <v>87265.99830089202</v>
      </c>
      <c r="G105" s="5">
        <f t="shared" si="6"/>
        <v>-48.49023968518304</v>
      </c>
      <c r="H105" s="1">
        <f t="shared" si="7"/>
        <v>-951344.0022671993</v>
      </c>
    </row>
    <row r="106" spans="1:8" ht="12.75">
      <c r="A106" s="16">
        <f>DADOS!A105</f>
        <v>41178</v>
      </c>
      <c r="B106">
        <f>DADOS!E105</f>
        <v>440</v>
      </c>
      <c r="C106">
        <f>DADOS!D105</f>
        <v>8.06</v>
      </c>
      <c r="D106">
        <v>10.64</v>
      </c>
      <c r="E106" s="5">
        <f t="shared" si="4"/>
        <v>87341.3510390429</v>
      </c>
      <c r="F106" s="5">
        <f t="shared" si="5"/>
        <v>87349.52929621529</v>
      </c>
      <c r="G106" s="5">
        <f t="shared" si="6"/>
        <v>8.17825717238884</v>
      </c>
      <c r="H106" s="1">
        <f t="shared" si="7"/>
        <v>-943165.7450948105</v>
      </c>
    </row>
    <row r="107" spans="1:8" ht="12.75">
      <c r="A107" s="16">
        <f>DADOS!A106</f>
        <v>41179</v>
      </c>
      <c r="B107">
        <f>DADOS!E106</f>
        <v>439</v>
      </c>
      <c r="C107">
        <f>DADOS!D106</f>
        <v>8.07</v>
      </c>
      <c r="D107">
        <v>10.64</v>
      </c>
      <c r="E107" s="5">
        <f t="shared" si="4"/>
        <v>87354.13872935614</v>
      </c>
      <c r="F107" s="5">
        <f t="shared" si="5"/>
        <v>87376.40257504814</v>
      </c>
      <c r="G107" s="5">
        <f t="shared" si="6"/>
        <v>22.26384569199581</v>
      </c>
      <c r="H107" s="1">
        <f t="shared" si="7"/>
        <v>-920901.8994028147</v>
      </c>
    </row>
    <row r="108" spans="1:8" ht="12.75">
      <c r="A108" s="16">
        <f>DADOS!A107</f>
        <v>41180</v>
      </c>
      <c r="B108">
        <f>DADOS!E107</f>
        <v>438</v>
      </c>
      <c r="C108">
        <f>DADOS!D107</f>
        <v>8.03</v>
      </c>
      <c r="D108">
        <v>10.64</v>
      </c>
      <c r="E108" s="5">
        <f t="shared" si="4"/>
        <v>87437.28816155705</v>
      </c>
      <c r="F108" s="5">
        <f t="shared" si="5"/>
        <v>87389.19539727406</v>
      </c>
      <c r="G108" s="5">
        <f t="shared" si="6"/>
        <v>-48.09276428299199</v>
      </c>
      <c r="H108" s="1">
        <f t="shared" si="7"/>
        <v>-968994.6636858067</v>
      </c>
    </row>
    <row r="109" spans="1:8" ht="12.75">
      <c r="A109" s="16">
        <f>DADOS!A108</f>
        <v>41183</v>
      </c>
      <c r="B109">
        <f>DADOS!E108</f>
        <v>437</v>
      </c>
      <c r="C109">
        <f>DADOS!D108</f>
        <v>7.99</v>
      </c>
      <c r="D109">
        <v>10.64</v>
      </c>
      <c r="E109" s="5">
        <f t="shared" si="4"/>
        <v>87520.28040588475</v>
      </c>
      <c r="F109" s="5">
        <f t="shared" si="5"/>
        <v>87472.37819872427</v>
      </c>
      <c r="G109" s="5">
        <f t="shared" si="6"/>
        <v>-47.90220716048498</v>
      </c>
      <c r="H109" s="1">
        <f t="shared" si="7"/>
        <v>-1016896.8708462917</v>
      </c>
    </row>
    <row r="110" spans="1:8" ht="12.75">
      <c r="A110" s="16">
        <f>DADOS!A109</f>
        <v>41184</v>
      </c>
      <c r="B110">
        <f>DADOS!E109</f>
        <v>436</v>
      </c>
      <c r="C110">
        <f>DADOS!D109</f>
        <v>7.92</v>
      </c>
      <c r="D110">
        <v>10.64</v>
      </c>
      <c r="E110" s="5">
        <f t="shared" si="4"/>
        <v>87645.25224881098</v>
      </c>
      <c r="F110" s="5">
        <f t="shared" si="5"/>
        <v>87555.40374921916</v>
      </c>
      <c r="G110" s="5">
        <f t="shared" si="6"/>
        <v>-89.84849959182611</v>
      </c>
      <c r="H110" s="1">
        <f t="shared" si="7"/>
        <v>-1106745.3704381178</v>
      </c>
    </row>
    <row r="111" spans="1:8" ht="12.75">
      <c r="A111" s="16">
        <f>DADOS!A110</f>
        <v>41185</v>
      </c>
      <c r="B111">
        <f>DADOS!E110</f>
        <v>435</v>
      </c>
      <c r="C111">
        <f>DADOS!D110</f>
        <v>7.91</v>
      </c>
      <c r="D111">
        <v>10.64</v>
      </c>
      <c r="E111" s="5">
        <f t="shared" si="4"/>
        <v>87685.7904302029</v>
      </c>
      <c r="F111" s="5">
        <f t="shared" si="5"/>
        <v>87680.4257454233</v>
      </c>
      <c r="G111" s="5">
        <f t="shared" si="6"/>
        <v>-5.364684779604431</v>
      </c>
      <c r="H111" s="1">
        <f t="shared" si="7"/>
        <v>-1112110.0552177222</v>
      </c>
    </row>
    <row r="112" spans="1:8" ht="12.75">
      <c r="A112" s="16">
        <f>DADOS!A111</f>
        <v>41186</v>
      </c>
      <c r="B112">
        <f>DADOS!E111</f>
        <v>434</v>
      </c>
      <c r="C112">
        <f>DADOS!D111</f>
        <v>7.89</v>
      </c>
      <c r="D112">
        <v>10.64</v>
      </c>
      <c r="E112" s="5">
        <f t="shared" si="4"/>
        <v>87740.28814677613</v>
      </c>
      <c r="F112" s="5">
        <f t="shared" si="5"/>
        <v>87720.98019546126</v>
      </c>
      <c r="G112" s="5">
        <f t="shared" si="6"/>
        <v>-19.30795131486957</v>
      </c>
      <c r="H112" s="1">
        <f t="shared" si="7"/>
        <v>-1131418.0065325918</v>
      </c>
    </row>
    <row r="113" spans="1:8" ht="12.75">
      <c r="A113" s="16">
        <f>DADOS!A112</f>
        <v>41187</v>
      </c>
      <c r="B113">
        <f>DADOS!E112</f>
        <v>433</v>
      </c>
      <c r="C113">
        <f>DADOS!D112</f>
        <v>7.6899999999999995</v>
      </c>
      <c r="D113">
        <v>10.64</v>
      </c>
      <c r="E113" s="5">
        <f t="shared" si="4"/>
        <v>88046.99349038502</v>
      </c>
      <c r="F113" s="5">
        <f t="shared" si="5"/>
        <v>87775.49978287403</v>
      </c>
      <c r="G113" s="5">
        <f t="shared" si="6"/>
        <v>-271.49370751099195</v>
      </c>
      <c r="H113" s="1">
        <f t="shared" si="7"/>
        <v>-1402911.7140435837</v>
      </c>
    </row>
    <row r="114" spans="1:8" ht="12.75">
      <c r="A114" s="16">
        <f>DADOS!A113</f>
        <v>41190</v>
      </c>
      <c r="B114">
        <f>DADOS!E113</f>
        <v>432</v>
      </c>
      <c r="C114">
        <f>DADOS!D113</f>
        <v>7.72</v>
      </c>
      <c r="D114">
        <v>10.64</v>
      </c>
      <c r="E114" s="5">
        <f t="shared" si="4"/>
        <v>88030.83830290734</v>
      </c>
      <c r="F114" s="5">
        <f t="shared" si="5"/>
        <v>88082.32821243553</v>
      </c>
      <c r="G114" s="5">
        <f t="shared" si="6"/>
        <v>51.48990952818713</v>
      </c>
      <c r="H114" s="1">
        <f t="shared" si="7"/>
        <v>-1351421.8045153967</v>
      </c>
    </row>
    <row r="115" spans="1:8" ht="12.75">
      <c r="A115" s="16">
        <f>DADOS!A114</f>
        <v>41191</v>
      </c>
      <c r="B115">
        <f>DADOS!E114</f>
        <v>431</v>
      </c>
      <c r="C115">
        <f>DADOS!D114</f>
        <v>7.6899999999999995</v>
      </c>
      <c r="D115">
        <v>10.64</v>
      </c>
      <c r="E115" s="5">
        <f t="shared" si="4"/>
        <v>88098.77932791802</v>
      </c>
      <c r="F115" s="5">
        <f t="shared" si="5"/>
        <v>88066.16654161258</v>
      </c>
      <c r="G115" s="5">
        <f t="shared" si="6"/>
        <v>-32.61278630544257</v>
      </c>
      <c r="H115" s="1">
        <f t="shared" si="7"/>
        <v>-1384034.5908208392</v>
      </c>
    </row>
    <row r="116" spans="1:8" ht="12.75">
      <c r="A116" s="16">
        <f>DADOS!A115</f>
        <v>41192</v>
      </c>
      <c r="B116">
        <f>DADOS!E115</f>
        <v>430</v>
      </c>
      <c r="C116">
        <f>DADOS!D115</f>
        <v>7.75</v>
      </c>
      <c r="D116">
        <v>10.64</v>
      </c>
      <c r="E116" s="5">
        <f t="shared" si="4"/>
        <v>88040.96659469763</v>
      </c>
      <c r="F116" s="5">
        <f t="shared" si="5"/>
        <v>88134.13483248594</v>
      </c>
      <c r="G116" s="5">
        <f t="shared" si="6"/>
        <v>93.16823778831167</v>
      </c>
      <c r="H116" s="1">
        <f t="shared" si="7"/>
        <v>-1290866.3530325275</v>
      </c>
    </row>
    <row r="117" spans="1:8" ht="12.75">
      <c r="A117" s="16">
        <f>DADOS!A116</f>
        <v>41193</v>
      </c>
      <c r="B117">
        <f>DADOS!E116</f>
        <v>429</v>
      </c>
      <c r="C117">
        <f>DADOS!D116</f>
        <v>7.73</v>
      </c>
      <c r="D117">
        <v>10.64</v>
      </c>
      <c r="E117" s="5">
        <f t="shared" si="4"/>
        <v>88094.88363051102</v>
      </c>
      <c r="F117" s="5">
        <f t="shared" si="5"/>
        <v>88076.29889805472</v>
      </c>
      <c r="G117" s="5">
        <f t="shared" si="6"/>
        <v>-18.58473245629284</v>
      </c>
      <c r="H117" s="1">
        <f t="shared" si="7"/>
        <v>-1309451.0854888204</v>
      </c>
    </row>
    <row r="118" spans="1:8" ht="12.75">
      <c r="A118" s="16">
        <f>DADOS!A117</f>
        <v>41197</v>
      </c>
      <c r="B118">
        <f>DADOS!E117</f>
        <v>428</v>
      </c>
      <c r="C118">
        <f>DADOS!D117</f>
        <v>7.74</v>
      </c>
      <c r="D118">
        <v>10.64</v>
      </c>
      <c r="E118" s="5">
        <f t="shared" si="4"/>
        <v>88107.0257609516</v>
      </c>
      <c r="F118" s="5">
        <f t="shared" si="5"/>
        <v>88130.23757167082</v>
      </c>
      <c r="G118" s="5">
        <f t="shared" si="6"/>
        <v>23.21181071922183</v>
      </c>
      <c r="H118" s="1">
        <f t="shared" si="7"/>
        <v>-1286239.2747695986</v>
      </c>
    </row>
    <row r="119" spans="1:8" ht="12.75">
      <c r="A119" s="16">
        <f>DADOS!A118</f>
        <v>41198</v>
      </c>
      <c r="B119">
        <f>DADOS!E118</f>
        <v>427</v>
      </c>
      <c r="C119">
        <f>DADOS!D118</f>
        <v>7.65</v>
      </c>
      <c r="D119">
        <v>10.64</v>
      </c>
      <c r="E119" s="5">
        <f t="shared" si="4"/>
        <v>88257.98291459792</v>
      </c>
      <c r="F119" s="5">
        <f t="shared" si="5"/>
        <v>88142.38457495018</v>
      </c>
      <c r="G119" s="5">
        <f t="shared" si="6"/>
        <v>-115.59833964773861</v>
      </c>
      <c r="H119" s="1">
        <f t="shared" si="7"/>
        <v>-1401837.6144173373</v>
      </c>
    </row>
    <row r="120" spans="1:8" ht="12.75">
      <c r="A120" s="16">
        <f>DADOS!A119</f>
        <v>41199</v>
      </c>
      <c r="B120">
        <f>DADOS!E119</f>
        <v>426</v>
      </c>
      <c r="C120">
        <f>DADOS!D119</f>
        <v>7.71</v>
      </c>
      <c r="D120">
        <v>10.64</v>
      </c>
      <c r="E120" s="5">
        <f t="shared" si="4"/>
        <v>88200.68463283166</v>
      </c>
      <c r="F120" s="5">
        <f t="shared" si="5"/>
        <v>88293.40231021155</v>
      </c>
      <c r="G120" s="5">
        <f t="shared" si="6"/>
        <v>92.71767737988557</v>
      </c>
      <c r="H120" s="1">
        <f t="shared" si="7"/>
        <v>-1309119.9370374517</v>
      </c>
    </row>
    <row r="121" spans="1:8" ht="12.75">
      <c r="A121" s="16">
        <f>DADOS!A120</f>
        <v>41200</v>
      </c>
      <c r="B121">
        <f>DADOS!E120</f>
        <v>425</v>
      </c>
      <c r="C121">
        <f>DADOS!D120</f>
        <v>7.68</v>
      </c>
      <c r="D121">
        <v>10.64</v>
      </c>
      <c r="E121" s="5">
        <f t="shared" si="4"/>
        <v>88268.14268978931</v>
      </c>
      <c r="F121" s="5">
        <f t="shared" si="5"/>
        <v>88236.08103369238</v>
      </c>
      <c r="G121" s="5">
        <f t="shared" si="6"/>
        <v>-32.06165609693562</v>
      </c>
      <c r="H121" s="1">
        <f t="shared" si="7"/>
        <v>-1341181.5931343874</v>
      </c>
    </row>
    <row r="122" spans="1:8" ht="12.75">
      <c r="A122" s="16">
        <f>DADOS!A121</f>
        <v>41201</v>
      </c>
      <c r="B122">
        <f>DADOS!E121</f>
        <v>424</v>
      </c>
      <c r="C122">
        <f>DADOS!D121</f>
        <v>7.7</v>
      </c>
      <c r="D122">
        <v>10.64</v>
      </c>
      <c r="E122" s="5">
        <f t="shared" si="4"/>
        <v>88266.47861811056</v>
      </c>
      <c r="F122" s="5">
        <f t="shared" si="5"/>
        <v>88303.5661626896</v>
      </c>
      <c r="G122" s="5">
        <f t="shared" si="6"/>
        <v>37.087544579044334</v>
      </c>
      <c r="H122" s="1">
        <f t="shared" si="7"/>
        <v>-1304094.048555343</v>
      </c>
    </row>
    <row r="123" spans="1:8" ht="12.75">
      <c r="A123" s="16">
        <f>DADOS!A122</f>
        <v>41204</v>
      </c>
      <c r="B123">
        <f>DADOS!E122</f>
        <v>423</v>
      </c>
      <c r="C123">
        <f>DADOS!D122</f>
        <v>7.67</v>
      </c>
      <c r="D123">
        <v>10.64</v>
      </c>
      <c r="E123" s="5">
        <f t="shared" si="4"/>
        <v>88333.76299497166</v>
      </c>
      <c r="F123" s="5">
        <f t="shared" si="5"/>
        <v>88301.90142319122</v>
      </c>
      <c r="G123" s="5">
        <f t="shared" si="6"/>
        <v>-31.861571780449594</v>
      </c>
      <c r="H123" s="1">
        <f t="shared" si="7"/>
        <v>-1335955.6203357927</v>
      </c>
    </row>
    <row r="124" spans="1:8" ht="12.75">
      <c r="A124" s="16">
        <f>DADOS!A123</f>
        <v>41205</v>
      </c>
      <c r="B124">
        <f>DADOS!E123</f>
        <v>422</v>
      </c>
      <c r="C124">
        <f>DADOS!D123</f>
        <v>7.66</v>
      </c>
      <c r="D124">
        <v>10.64</v>
      </c>
      <c r="E124" s="5">
        <f aca="true" t="shared" si="8" ref="E124:E176">100000/(1+C124/100)^(B124/252)</f>
        <v>88373.41568587584</v>
      </c>
      <c r="F124" s="5">
        <f aca="true" t="shared" si="9" ref="F124:F176">(1+D123/100)^(1/252)*E123</f>
        <v>88369.2128023912</v>
      </c>
      <c r="G124" s="5">
        <f aca="true" t="shared" si="10" ref="G124:G176">-E124+F124</f>
        <v>-4.202883484642371</v>
      </c>
      <c r="H124" s="1">
        <f aca="true" t="shared" si="11" ref="H124:H176">H123+G124*$K$2</f>
        <v>-1340158.5038204351</v>
      </c>
    </row>
    <row r="125" spans="1:8" ht="12.75">
      <c r="A125" s="16">
        <f>DADOS!A124</f>
        <v>41206</v>
      </c>
      <c r="B125">
        <f>DADOS!E124</f>
        <v>421</v>
      </c>
      <c r="C125">
        <f>DADOS!D124</f>
        <v>7.62</v>
      </c>
      <c r="D125">
        <v>10.64</v>
      </c>
      <c r="E125" s="5">
        <f t="shared" si="8"/>
        <v>88454.20041036047</v>
      </c>
      <c r="F125" s="5">
        <f t="shared" si="9"/>
        <v>88408.88140657936</v>
      </c>
      <c r="G125" s="5">
        <f t="shared" si="10"/>
        <v>-45.31900378111459</v>
      </c>
      <c r="H125" s="1">
        <f t="shared" si="11"/>
        <v>-1385477.5076015498</v>
      </c>
    </row>
    <row r="126" spans="1:8" ht="12.75">
      <c r="A126" s="16">
        <f>DADOS!A125</f>
        <v>41207</v>
      </c>
      <c r="B126">
        <f>DADOS!E125</f>
        <v>420</v>
      </c>
      <c r="C126">
        <f>DADOS!D125</f>
        <v>7.59</v>
      </c>
      <c r="D126">
        <v>10.64</v>
      </c>
      <c r="E126" s="5">
        <f t="shared" si="8"/>
        <v>88521.10383142706</v>
      </c>
      <c r="F126" s="5">
        <f t="shared" si="9"/>
        <v>88489.69855131677</v>
      </c>
      <c r="G126" s="5">
        <f t="shared" si="10"/>
        <v>-31.405280110280728</v>
      </c>
      <c r="H126" s="1">
        <f t="shared" si="11"/>
        <v>-1416882.7877118306</v>
      </c>
    </row>
    <row r="127" spans="1:8" ht="12.75">
      <c r="A127" s="16">
        <f>DADOS!A126</f>
        <v>41208</v>
      </c>
      <c r="B127">
        <f>DADOS!E126</f>
        <v>419</v>
      </c>
      <c r="C127">
        <f>DADOS!D126</f>
        <v>7.59</v>
      </c>
      <c r="D127">
        <v>10.64</v>
      </c>
      <c r="E127" s="5">
        <f t="shared" si="8"/>
        <v>88546.80591310743</v>
      </c>
      <c r="F127" s="5">
        <f t="shared" si="9"/>
        <v>88556.62882183834</v>
      </c>
      <c r="G127" s="5">
        <f t="shared" si="10"/>
        <v>9.822908730915515</v>
      </c>
      <c r="H127" s="1">
        <f t="shared" si="11"/>
        <v>-1407059.878980915</v>
      </c>
    </row>
    <row r="128" spans="1:8" ht="12.75">
      <c r="A128" s="16">
        <f>DADOS!A127</f>
        <v>41211</v>
      </c>
      <c r="B128">
        <f>DADOS!E127</f>
        <v>418</v>
      </c>
      <c r="C128">
        <f>DADOS!D127</f>
        <v>7.6</v>
      </c>
      <c r="D128">
        <v>10.64</v>
      </c>
      <c r="E128" s="5">
        <f t="shared" si="8"/>
        <v>88558.86179516933</v>
      </c>
      <c r="F128" s="5">
        <f t="shared" si="9"/>
        <v>88582.34121819132</v>
      </c>
      <c r="G128" s="5">
        <f t="shared" si="10"/>
        <v>23.479423021984985</v>
      </c>
      <c r="H128" s="1">
        <f t="shared" si="11"/>
        <v>-1383580.45595893</v>
      </c>
    </row>
    <row r="129" spans="1:8" ht="12.75">
      <c r="A129" s="16">
        <f>DADOS!A128</f>
        <v>41212</v>
      </c>
      <c r="B129">
        <f>DADOS!E128</f>
        <v>417</v>
      </c>
      <c r="C129">
        <f>DADOS!D128</f>
        <v>7.6</v>
      </c>
      <c r="D129">
        <v>10.64</v>
      </c>
      <c r="E129" s="5">
        <f t="shared" si="8"/>
        <v>88584.60751110082</v>
      </c>
      <c r="F129" s="5">
        <f t="shared" si="9"/>
        <v>88594.40193847909</v>
      </c>
      <c r="G129" s="5">
        <f t="shared" si="10"/>
        <v>9.794427378263208</v>
      </c>
      <c r="H129" s="1">
        <f t="shared" si="11"/>
        <v>-1373786.028580667</v>
      </c>
    </row>
    <row r="130" spans="1:8" ht="12.75">
      <c r="A130" s="16">
        <f>DADOS!A129</f>
        <v>41213</v>
      </c>
      <c r="B130">
        <f>DADOS!E129</f>
        <v>416</v>
      </c>
      <c r="C130">
        <f>DADOS!D129</f>
        <v>7.6</v>
      </c>
      <c r="D130">
        <v>10.64</v>
      </c>
      <c r="E130" s="5">
        <f t="shared" si="8"/>
        <v>88610.36071179302</v>
      </c>
      <c r="F130" s="5">
        <f t="shared" si="9"/>
        <v>88620.15798659435</v>
      </c>
      <c r="G130" s="5">
        <f t="shared" si="10"/>
        <v>9.797274801327148</v>
      </c>
      <c r="H130" s="1">
        <f t="shared" si="11"/>
        <v>-1363988.7537793398</v>
      </c>
    </row>
    <row r="131" spans="1:8" ht="12.75">
      <c r="A131" s="16">
        <f>DADOS!A130</f>
        <v>41214</v>
      </c>
      <c r="B131">
        <f>DADOS!E130</f>
        <v>415</v>
      </c>
      <c r="C131">
        <f>DADOS!D130</f>
        <v>7.59</v>
      </c>
      <c r="D131">
        <v>10.64</v>
      </c>
      <c r="E131" s="5">
        <f t="shared" si="8"/>
        <v>88649.6888874333</v>
      </c>
      <c r="F131" s="5">
        <f t="shared" si="9"/>
        <v>88645.92152247406</v>
      </c>
      <c r="G131" s="5">
        <f t="shared" si="10"/>
        <v>-3.767364959232509</v>
      </c>
      <c r="H131" s="1">
        <f t="shared" si="11"/>
        <v>-1367756.1187385723</v>
      </c>
    </row>
    <row r="132" spans="1:8" ht="12.75">
      <c r="A132" s="16">
        <f>DADOS!A131</f>
        <v>41218</v>
      </c>
      <c r="B132">
        <f>DADOS!E131</f>
        <v>414</v>
      </c>
      <c r="C132">
        <f>DADOS!D131</f>
        <v>7.58</v>
      </c>
      <c r="D132">
        <v>10.64</v>
      </c>
      <c r="E132" s="5">
        <f t="shared" si="8"/>
        <v>88688.97035742698</v>
      </c>
      <c r="F132" s="5">
        <f t="shared" si="9"/>
        <v>88685.26548116496</v>
      </c>
      <c r="G132" s="5">
        <f t="shared" si="10"/>
        <v>-3.704876262025209</v>
      </c>
      <c r="H132" s="1">
        <f t="shared" si="11"/>
        <v>-1371460.9950005976</v>
      </c>
    </row>
    <row r="133" spans="1:8" ht="12.75">
      <c r="A133" s="16">
        <f>DADOS!A132</f>
        <v>41219</v>
      </c>
      <c r="B133">
        <f>DADOS!E132</f>
        <v>413</v>
      </c>
      <c r="C133">
        <f>DADOS!D132</f>
        <v>7.61</v>
      </c>
      <c r="D133">
        <v>10.64</v>
      </c>
      <c r="E133" s="5">
        <f t="shared" si="8"/>
        <v>88674.15860779164</v>
      </c>
      <c r="F133" s="5">
        <f t="shared" si="9"/>
        <v>88724.56271546551</v>
      </c>
      <c r="G133" s="5">
        <f t="shared" si="10"/>
        <v>50.40410767386493</v>
      </c>
      <c r="H133" s="1">
        <f t="shared" si="11"/>
        <v>-1321056.8873267327</v>
      </c>
    </row>
    <row r="134" spans="1:8" ht="12.75">
      <c r="A134" s="16">
        <f>DADOS!A133</f>
        <v>41220</v>
      </c>
      <c r="B134">
        <f>DADOS!E133</f>
        <v>412</v>
      </c>
      <c r="C134">
        <f>DADOS!D133</f>
        <v>7.59</v>
      </c>
      <c r="D134">
        <v>10.64</v>
      </c>
      <c r="E134" s="5">
        <f t="shared" si="8"/>
        <v>88726.929558867</v>
      </c>
      <c r="F134" s="5">
        <f t="shared" si="9"/>
        <v>88709.74502162883</v>
      </c>
      <c r="G134" s="5">
        <f t="shared" si="10"/>
        <v>-17.184537238179473</v>
      </c>
      <c r="H134" s="1">
        <f t="shared" si="11"/>
        <v>-1338241.4245649122</v>
      </c>
    </row>
    <row r="135" spans="1:8" ht="12.75">
      <c r="A135" s="16">
        <f>DADOS!A134</f>
        <v>41221</v>
      </c>
      <c r="B135">
        <f>DADOS!E134</f>
        <v>411</v>
      </c>
      <c r="C135">
        <f>DADOS!D134</f>
        <v>7.6</v>
      </c>
      <c r="D135">
        <v>10.64</v>
      </c>
      <c r="E135" s="5">
        <f t="shared" si="8"/>
        <v>88739.23906284534</v>
      </c>
      <c r="F135" s="5">
        <f t="shared" si="9"/>
        <v>88762.53715056405</v>
      </c>
      <c r="G135" s="5">
        <f t="shared" si="10"/>
        <v>23.298087718707393</v>
      </c>
      <c r="H135" s="1">
        <f t="shared" si="11"/>
        <v>-1314943.336846205</v>
      </c>
    </row>
    <row r="136" spans="1:8" ht="12.75">
      <c r="A136" s="16">
        <f>DADOS!A135</f>
        <v>41222</v>
      </c>
      <c r="B136">
        <f>DADOS!E135</f>
        <v>410</v>
      </c>
      <c r="C136">
        <f>DADOS!D135</f>
        <v>7.62</v>
      </c>
      <c r="D136">
        <v>10.64</v>
      </c>
      <c r="E136" s="5">
        <f t="shared" si="8"/>
        <v>88738.2000327874</v>
      </c>
      <c r="F136" s="5">
        <f t="shared" si="9"/>
        <v>88774.85159455094</v>
      </c>
      <c r="G136" s="5">
        <f t="shared" si="10"/>
        <v>36.65156176354503</v>
      </c>
      <c r="H136" s="1">
        <f t="shared" si="11"/>
        <v>-1278291.77508266</v>
      </c>
    </row>
    <row r="137" spans="1:8" ht="12.75">
      <c r="A137" s="16">
        <f>DADOS!A136</f>
        <v>41225</v>
      </c>
      <c r="B137">
        <f>DADOS!E136</f>
        <v>409</v>
      </c>
      <c r="C137">
        <f>DADOS!D136</f>
        <v>7.64</v>
      </c>
      <c r="D137">
        <v>10.64</v>
      </c>
      <c r="E137" s="5">
        <f t="shared" si="8"/>
        <v>88737.29688073265</v>
      </c>
      <c r="F137" s="5">
        <f t="shared" si="9"/>
        <v>88773.81214751297</v>
      </c>
      <c r="G137" s="5">
        <f t="shared" si="10"/>
        <v>36.51526678031951</v>
      </c>
      <c r="H137" s="1">
        <f t="shared" si="11"/>
        <v>-1241776.5083023403</v>
      </c>
    </row>
    <row r="138" spans="1:8" ht="12.75">
      <c r="A138" s="16">
        <f>DADOS!A137</f>
        <v>41226</v>
      </c>
      <c r="B138">
        <f>DADOS!E137</f>
        <v>408</v>
      </c>
      <c r="C138">
        <f>DADOS!D137</f>
        <v>7.68</v>
      </c>
      <c r="D138">
        <v>10.64</v>
      </c>
      <c r="E138" s="5">
        <f t="shared" si="8"/>
        <v>88709.84672481645</v>
      </c>
      <c r="F138" s="5">
        <f t="shared" si="9"/>
        <v>88772.9086330083</v>
      </c>
      <c r="G138" s="5">
        <f t="shared" si="10"/>
        <v>63.06190819184121</v>
      </c>
      <c r="H138" s="1">
        <f t="shared" si="11"/>
        <v>-1178714.6001104992</v>
      </c>
    </row>
    <row r="139" spans="1:8" ht="12.75">
      <c r="A139" s="16">
        <f>DADOS!A138</f>
        <v>41227</v>
      </c>
      <c r="B139">
        <f>DADOS!E138</f>
        <v>407</v>
      </c>
      <c r="C139">
        <f>DADOS!D138</f>
        <v>7.7</v>
      </c>
      <c r="D139">
        <v>10.64</v>
      </c>
      <c r="E139" s="5">
        <f t="shared" si="8"/>
        <v>88709.28572329374</v>
      </c>
      <c r="F139" s="5">
        <f t="shared" si="9"/>
        <v>88745.44746088823</v>
      </c>
      <c r="G139" s="5">
        <f t="shared" si="10"/>
        <v>36.16173759449157</v>
      </c>
      <c r="H139" s="1">
        <f t="shared" si="11"/>
        <v>-1142552.8625160076</v>
      </c>
    </row>
    <row r="140" spans="1:8" ht="12.75">
      <c r="A140" s="16">
        <f>DADOS!A139</f>
        <v>41229</v>
      </c>
      <c r="B140">
        <f>DADOS!E139</f>
        <v>406</v>
      </c>
      <c r="C140">
        <f>DADOS!D139</f>
        <v>7.66</v>
      </c>
      <c r="D140">
        <v>10.64</v>
      </c>
      <c r="E140" s="5">
        <f t="shared" si="8"/>
        <v>88788.52462726668</v>
      </c>
      <c r="F140" s="5">
        <f t="shared" si="9"/>
        <v>88744.88623422629</v>
      </c>
      <c r="G140" s="5">
        <f t="shared" si="10"/>
        <v>-43.638393040397204</v>
      </c>
      <c r="H140" s="1">
        <f t="shared" si="11"/>
        <v>-1186191.2555564048</v>
      </c>
    </row>
    <row r="141" spans="1:8" ht="12.75">
      <c r="A141" s="16">
        <f>DADOS!A140</f>
        <v>41232</v>
      </c>
      <c r="B141">
        <f>DADOS!E140</f>
        <v>405</v>
      </c>
      <c r="C141">
        <f>DADOS!D140</f>
        <v>7.63</v>
      </c>
      <c r="D141">
        <v>10.64</v>
      </c>
      <c r="E141" s="5">
        <f t="shared" si="8"/>
        <v>88854.32259698209</v>
      </c>
      <c r="F141" s="5">
        <f t="shared" si="9"/>
        <v>88824.15693808855</v>
      </c>
      <c r="G141" s="5">
        <f t="shared" si="10"/>
        <v>-30.165658893543878</v>
      </c>
      <c r="H141" s="1">
        <f t="shared" si="11"/>
        <v>-1216356.9144499488</v>
      </c>
    </row>
    <row r="142" spans="1:8" ht="12.75">
      <c r="A142" s="16">
        <f>DADOS!A141</f>
        <v>41234</v>
      </c>
      <c r="B142">
        <f>DADOS!E141</f>
        <v>403</v>
      </c>
      <c r="C142">
        <f>DADOS!D141</f>
        <v>7.67</v>
      </c>
      <c r="D142">
        <v>10.64</v>
      </c>
      <c r="E142" s="5">
        <f t="shared" si="8"/>
        <v>88853.37550040414</v>
      </c>
      <c r="F142" s="5">
        <f t="shared" si="9"/>
        <v>88889.98131362292</v>
      </c>
      <c r="G142" s="5">
        <f t="shared" si="10"/>
        <v>36.60581321877544</v>
      </c>
      <c r="H142" s="1">
        <f t="shared" si="11"/>
        <v>-1179751.1012311734</v>
      </c>
    </row>
    <row r="143" spans="1:8" ht="12.75">
      <c r="A143" s="16">
        <f>DADOS!A142</f>
        <v>41235</v>
      </c>
      <c r="B143">
        <f>DADOS!E142</f>
        <v>402</v>
      </c>
      <c r="C143">
        <f>DADOS!D142</f>
        <v>7.66</v>
      </c>
      <c r="D143">
        <v>10.64</v>
      </c>
      <c r="E143" s="5">
        <f t="shared" si="8"/>
        <v>88892.60617057564</v>
      </c>
      <c r="F143" s="5">
        <f t="shared" si="9"/>
        <v>88889.03383695938</v>
      </c>
      <c r="G143" s="5">
        <f t="shared" si="10"/>
        <v>-3.5723336162627675</v>
      </c>
      <c r="H143" s="1">
        <f t="shared" si="11"/>
        <v>-1183323.4348474361</v>
      </c>
    </row>
    <row r="144" spans="1:8" ht="12.75">
      <c r="A144" s="16">
        <f>DADOS!A143</f>
        <v>41236</v>
      </c>
      <c r="B144">
        <f>DADOS!E143</f>
        <v>401</v>
      </c>
      <c r="C144">
        <f>DADOS!D143</f>
        <v>7.62</v>
      </c>
      <c r="D144">
        <v>10.64</v>
      </c>
      <c r="E144" s="5">
        <f t="shared" si="8"/>
        <v>88971.24145401732</v>
      </c>
      <c r="F144" s="5">
        <f t="shared" si="9"/>
        <v>88928.28025105092</v>
      </c>
      <c r="G144" s="5">
        <f t="shared" si="10"/>
        <v>-42.96120296639856</v>
      </c>
      <c r="H144" s="1">
        <f t="shared" si="11"/>
        <v>-1226284.6378138347</v>
      </c>
    </row>
    <row r="145" spans="1:8" ht="12.75">
      <c r="A145" s="16">
        <f>DADOS!A144</f>
        <v>41239</v>
      </c>
      <c r="B145">
        <f>DADOS!E144</f>
        <v>400</v>
      </c>
      <c r="C145">
        <f>DADOS!D144</f>
        <v>7.59</v>
      </c>
      <c r="D145">
        <v>10.64</v>
      </c>
      <c r="E145" s="5">
        <f t="shared" si="8"/>
        <v>89036.56583093452</v>
      </c>
      <c r="F145" s="5">
        <f t="shared" si="9"/>
        <v>89006.94709213896</v>
      </c>
      <c r="G145" s="5">
        <f t="shared" si="10"/>
        <v>-29.618738795557874</v>
      </c>
      <c r="H145" s="1">
        <f t="shared" si="11"/>
        <v>-1255903.3766093925</v>
      </c>
    </row>
    <row r="146" spans="1:8" ht="12.75">
      <c r="A146" s="16">
        <f>DADOS!A145</f>
        <v>41240</v>
      </c>
      <c r="B146">
        <f>DADOS!E145</f>
        <v>399</v>
      </c>
      <c r="C146">
        <f>DADOS!D145</f>
        <v>7.54</v>
      </c>
      <c r="D146">
        <v>10.64</v>
      </c>
      <c r="E146" s="5">
        <f t="shared" si="8"/>
        <v>89127.99067347976</v>
      </c>
      <c r="F146" s="5">
        <f t="shared" si="9"/>
        <v>89072.29768481448</v>
      </c>
      <c r="G146" s="5">
        <f t="shared" si="10"/>
        <v>-55.6929886652797</v>
      </c>
      <c r="H146" s="1">
        <f t="shared" si="11"/>
        <v>-1311596.3652746722</v>
      </c>
    </row>
    <row r="147" spans="1:8" ht="12.75">
      <c r="A147" s="16">
        <f>DADOS!A146</f>
        <v>41241</v>
      </c>
      <c r="B147">
        <f>DADOS!E146</f>
        <v>398</v>
      </c>
      <c r="C147">
        <f>DADOS!D146</f>
        <v>7.54</v>
      </c>
      <c r="D147">
        <v>10.64</v>
      </c>
      <c r="E147" s="5">
        <f t="shared" si="8"/>
        <v>89153.7045129435</v>
      </c>
      <c r="F147" s="5">
        <f t="shared" si="9"/>
        <v>89163.75921766873</v>
      </c>
      <c r="G147" s="5">
        <f t="shared" si="10"/>
        <v>10.054704725233023</v>
      </c>
      <c r="H147" s="1">
        <f t="shared" si="11"/>
        <v>-1301541.660549439</v>
      </c>
    </row>
    <row r="148" spans="1:8" ht="12.75">
      <c r="A148" s="16">
        <f>DADOS!A147</f>
        <v>41242</v>
      </c>
      <c r="B148">
        <f>DADOS!E147</f>
        <v>397</v>
      </c>
      <c r="C148">
        <f>DADOS!D147</f>
        <v>7.5600000000000005</v>
      </c>
      <c r="D148">
        <v>10.64</v>
      </c>
      <c r="E148" s="5">
        <f t="shared" si="8"/>
        <v>89153.3035195153</v>
      </c>
      <c r="F148" s="5">
        <f t="shared" si="9"/>
        <v>89189.48337652368</v>
      </c>
      <c r="G148" s="5">
        <f t="shared" si="10"/>
        <v>36.17985700837744</v>
      </c>
      <c r="H148" s="1">
        <f t="shared" si="11"/>
        <v>-1265361.8035410615</v>
      </c>
    </row>
    <row r="149" spans="1:8" ht="12.75">
      <c r="A149" s="16">
        <f>DADOS!A148</f>
        <v>41243</v>
      </c>
      <c r="B149">
        <f>DADOS!E148</f>
        <v>396</v>
      </c>
      <c r="C149">
        <f>DADOS!D148</f>
        <v>7.45</v>
      </c>
      <c r="D149">
        <v>10.64</v>
      </c>
      <c r="E149" s="5">
        <f t="shared" si="8"/>
        <v>89322.59676165156</v>
      </c>
      <c r="F149" s="5">
        <f t="shared" si="9"/>
        <v>89189.08222217017</v>
      </c>
      <c r="G149" s="5">
        <f t="shared" si="10"/>
        <v>-133.51453948138806</v>
      </c>
      <c r="H149" s="1">
        <f t="shared" si="11"/>
        <v>-1398876.3430224494</v>
      </c>
    </row>
    <row r="150" spans="1:8" ht="12.75">
      <c r="A150" s="16">
        <f>DADOS!A149</f>
        <v>41246</v>
      </c>
      <c r="B150">
        <f>DADOS!E149</f>
        <v>395</v>
      </c>
      <c r="C150">
        <f>DADOS!D149</f>
        <v>7.4</v>
      </c>
      <c r="D150">
        <v>10.64</v>
      </c>
      <c r="E150" s="5">
        <f t="shared" si="8"/>
        <v>89413.2784844147</v>
      </c>
      <c r="F150" s="5">
        <f t="shared" si="9"/>
        <v>89358.44340449857</v>
      </c>
      <c r="G150" s="5">
        <f t="shared" si="10"/>
        <v>-54.83507991612714</v>
      </c>
      <c r="H150" s="1">
        <f t="shared" si="11"/>
        <v>-1453711.4229385764</v>
      </c>
    </row>
    <row r="151" spans="1:8" ht="12.75">
      <c r="A151" s="16">
        <f>DADOS!A150</f>
        <v>41247</v>
      </c>
      <c r="B151">
        <f>DADOS!E150</f>
        <v>394</v>
      </c>
      <c r="C151">
        <f>DADOS!D150</f>
        <v>7.27</v>
      </c>
      <c r="D151">
        <v>10.64</v>
      </c>
      <c r="E151" s="5">
        <f t="shared" si="8"/>
        <v>89608.13739813173</v>
      </c>
      <c r="F151" s="5">
        <f t="shared" si="9"/>
        <v>89449.1615193444</v>
      </c>
      <c r="G151" s="5">
        <f t="shared" si="10"/>
        <v>-158.97587878732884</v>
      </c>
      <c r="H151" s="1">
        <f t="shared" si="11"/>
        <v>-1612687.3017259054</v>
      </c>
    </row>
    <row r="152" spans="1:8" ht="12.75">
      <c r="A152" s="16">
        <f>DADOS!A151</f>
        <v>41248</v>
      </c>
      <c r="B152">
        <f>DADOS!E151</f>
        <v>393</v>
      </c>
      <c r="C152">
        <f>DADOS!D151</f>
        <v>7.27</v>
      </c>
      <c r="D152">
        <v>10.64</v>
      </c>
      <c r="E152" s="5">
        <f t="shared" si="8"/>
        <v>89633.09561394039</v>
      </c>
      <c r="F152" s="5">
        <f t="shared" si="9"/>
        <v>89644.09863318257</v>
      </c>
      <c r="G152" s="5">
        <f t="shared" si="10"/>
        <v>11.003019242183655</v>
      </c>
      <c r="H152" s="1">
        <f t="shared" si="11"/>
        <v>-1601684.2824837216</v>
      </c>
    </row>
    <row r="153" spans="1:8" ht="12.75">
      <c r="A153" s="16">
        <f>DADOS!A152</f>
        <v>41249</v>
      </c>
      <c r="B153">
        <f>DADOS!E152</f>
        <v>392</v>
      </c>
      <c r="C153">
        <f>DADOS!D152</f>
        <v>7.02</v>
      </c>
      <c r="D153">
        <v>10.64</v>
      </c>
      <c r="E153" s="5">
        <f t="shared" si="8"/>
        <v>89984.0712536444</v>
      </c>
      <c r="F153" s="5">
        <f t="shared" si="9"/>
        <v>89669.0668651381</v>
      </c>
      <c r="G153" s="5">
        <f t="shared" si="10"/>
        <v>-315.004388506306</v>
      </c>
      <c r="H153" s="1">
        <f t="shared" si="11"/>
        <v>-1916688.6709900275</v>
      </c>
    </row>
    <row r="154" spans="1:8" ht="12.75">
      <c r="A154" s="16">
        <f>DADOS!A153</f>
        <v>41250</v>
      </c>
      <c r="B154">
        <f>DADOS!E153</f>
        <v>391</v>
      </c>
      <c r="C154">
        <f>DADOS!D153</f>
        <v>7.15</v>
      </c>
      <c r="D154">
        <v>10.64</v>
      </c>
      <c r="E154" s="5">
        <f t="shared" si="8"/>
        <v>89838.91982002289</v>
      </c>
      <c r="F154" s="5">
        <f t="shared" si="9"/>
        <v>90020.18335720043</v>
      </c>
      <c r="G154" s="5">
        <f t="shared" si="10"/>
        <v>181.26353717753955</v>
      </c>
      <c r="H154" s="1">
        <f t="shared" si="11"/>
        <v>-1735425.133812488</v>
      </c>
    </row>
    <row r="155" spans="1:8" ht="12.75">
      <c r="A155" s="16">
        <f>DADOS!A154</f>
        <v>41253</v>
      </c>
      <c r="B155">
        <f>DADOS!E154</f>
        <v>390</v>
      </c>
      <c r="C155">
        <f>DADOS!D154</f>
        <v>7.22</v>
      </c>
      <c r="D155">
        <v>10.64</v>
      </c>
      <c r="E155" s="5">
        <f t="shared" si="8"/>
        <v>89772.76274949522</v>
      </c>
      <c r="F155" s="5">
        <f t="shared" si="9"/>
        <v>89874.97367189582</v>
      </c>
      <c r="G155" s="5">
        <f t="shared" si="10"/>
        <v>102.21092240059806</v>
      </c>
      <c r="H155" s="1">
        <f t="shared" si="11"/>
        <v>-1633214.21141189</v>
      </c>
    </row>
    <row r="156" spans="1:8" ht="12.75">
      <c r="A156" s="16">
        <f>DADOS!A155</f>
        <v>41254</v>
      </c>
      <c r="B156">
        <f>DADOS!E155</f>
        <v>389</v>
      </c>
      <c r="C156">
        <f>DADOS!D155</f>
        <v>7.28</v>
      </c>
      <c r="D156">
        <v>10.64</v>
      </c>
      <c r="E156" s="5">
        <f t="shared" si="8"/>
        <v>89720.08666721173</v>
      </c>
      <c r="F156" s="5">
        <f t="shared" si="9"/>
        <v>89808.79005143604</v>
      </c>
      <c r="G156" s="5">
        <f t="shared" si="10"/>
        <v>88.70338422431087</v>
      </c>
      <c r="H156" s="1">
        <f t="shared" si="11"/>
        <v>-1544510.8271875791</v>
      </c>
    </row>
    <row r="157" spans="1:8" ht="12.75">
      <c r="A157" s="16">
        <f>DADOS!A156</f>
        <v>41255</v>
      </c>
      <c r="B157">
        <f>DADOS!E156</f>
        <v>388</v>
      </c>
      <c r="C157">
        <f>DADOS!D156</f>
        <v>7.25</v>
      </c>
      <c r="D157">
        <v>10.64</v>
      </c>
      <c r="E157" s="5">
        <f t="shared" si="8"/>
        <v>89783.76364140464</v>
      </c>
      <c r="F157" s="5">
        <f t="shared" si="9"/>
        <v>89756.09282936512</v>
      </c>
      <c r="G157" s="5">
        <f t="shared" si="10"/>
        <v>-27.67081203951966</v>
      </c>
      <c r="H157" s="1">
        <f t="shared" si="11"/>
        <v>-1572181.6392270988</v>
      </c>
    </row>
    <row r="158" spans="1:8" ht="12.75">
      <c r="A158" s="16">
        <f>DADOS!A157</f>
        <v>41256</v>
      </c>
      <c r="B158">
        <f>DADOS!E157</f>
        <v>387</v>
      </c>
      <c r="C158">
        <f>DADOS!D157</f>
        <v>7.21</v>
      </c>
      <c r="D158">
        <v>10.64</v>
      </c>
      <c r="E158" s="5">
        <f t="shared" si="8"/>
        <v>89860.16754042819</v>
      </c>
      <c r="F158" s="5">
        <f t="shared" si="9"/>
        <v>89819.79535818625</v>
      </c>
      <c r="G158" s="5">
        <f t="shared" si="10"/>
        <v>-40.37218224193202</v>
      </c>
      <c r="H158" s="1">
        <f t="shared" si="11"/>
        <v>-1612553.8214690308</v>
      </c>
    </row>
    <row r="159" spans="1:8" ht="12.75">
      <c r="A159" s="16">
        <f>DADOS!A158</f>
        <v>41257</v>
      </c>
      <c r="B159">
        <f>DADOS!E158</f>
        <v>386</v>
      </c>
      <c r="C159">
        <f>DADOS!D158</f>
        <v>7.25</v>
      </c>
      <c r="D159">
        <v>10.64</v>
      </c>
      <c r="E159" s="5">
        <f t="shared" si="8"/>
        <v>89833.65192955034</v>
      </c>
      <c r="F159" s="5">
        <f t="shared" si="9"/>
        <v>89896.2299193645</v>
      </c>
      <c r="G159" s="5">
        <f t="shared" si="10"/>
        <v>62.57798981416272</v>
      </c>
      <c r="H159" s="1">
        <f t="shared" si="11"/>
        <v>-1549975.831654868</v>
      </c>
    </row>
    <row r="160" spans="1:8" ht="12.75">
      <c r="A160" s="16">
        <f>DADOS!A159</f>
        <v>41260</v>
      </c>
      <c r="B160">
        <f>DADOS!E159</f>
        <v>385</v>
      </c>
      <c r="C160">
        <f>DADOS!D159</f>
        <v>7.25</v>
      </c>
      <c r="D160">
        <v>10.64</v>
      </c>
      <c r="E160" s="5">
        <f t="shared" si="8"/>
        <v>89858.60646780844</v>
      </c>
      <c r="F160" s="5">
        <f t="shared" si="9"/>
        <v>89869.70366733125</v>
      </c>
      <c r="G160" s="5">
        <f t="shared" si="10"/>
        <v>11.097199522817391</v>
      </c>
      <c r="H160" s="1">
        <f t="shared" si="11"/>
        <v>-1538878.6321320506</v>
      </c>
    </row>
    <row r="161" spans="1:8" ht="12.75">
      <c r="A161" s="16">
        <f>DADOS!A160</f>
        <v>41261</v>
      </c>
      <c r="B161">
        <f>DADOS!E160</f>
        <v>384</v>
      </c>
      <c r="C161">
        <f>DADOS!D160</f>
        <v>7.27</v>
      </c>
      <c r="D161">
        <v>10.64</v>
      </c>
      <c r="E161" s="5">
        <f t="shared" si="8"/>
        <v>89858.03260696126</v>
      </c>
      <c r="F161" s="5">
        <f t="shared" si="9"/>
        <v>89894.66822026036</v>
      </c>
      <c r="G161" s="5">
        <f t="shared" si="10"/>
        <v>36.63561329909135</v>
      </c>
      <c r="H161" s="1">
        <f t="shared" si="11"/>
        <v>-1502243.0188329592</v>
      </c>
    </row>
    <row r="162" spans="1:8" ht="12.75">
      <c r="A162" s="16">
        <f>DADOS!A161</f>
        <v>41262</v>
      </c>
      <c r="B162">
        <f>DADOS!E161</f>
        <v>383</v>
      </c>
      <c r="C162">
        <f>DADOS!D161</f>
        <v>7.29</v>
      </c>
      <c r="D162">
        <v>10.64</v>
      </c>
      <c r="E162" s="5">
        <f t="shared" si="8"/>
        <v>89857.59647405779</v>
      </c>
      <c r="F162" s="5">
        <f t="shared" si="9"/>
        <v>89894.09412911329</v>
      </c>
      <c r="G162" s="5">
        <f t="shared" si="10"/>
        <v>36.49765505550022</v>
      </c>
      <c r="H162" s="1">
        <f t="shared" si="11"/>
        <v>-1465745.3637774591</v>
      </c>
    </row>
    <row r="163" spans="1:8" ht="12.75">
      <c r="A163" s="16">
        <f>DADOS!A162</f>
        <v>41263</v>
      </c>
      <c r="B163">
        <f>DADOS!E162</f>
        <v>382</v>
      </c>
      <c r="C163">
        <f>DADOS!D162</f>
        <v>7.38</v>
      </c>
      <c r="D163">
        <v>10.64</v>
      </c>
      <c r="E163" s="5">
        <f t="shared" si="8"/>
        <v>89768.51748879596</v>
      </c>
      <c r="F163" s="5">
        <f t="shared" si="9"/>
        <v>89893.65782118244</v>
      </c>
      <c r="G163" s="5">
        <f t="shared" si="10"/>
        <v>125.14033238647971</v>
      </c>
      <c r="H163" s="1">
        <f t="shared" si="11"/>
        <v>-1340605.0313909794</v>
      </c>
    </row>
    <row r="164" spans="1:8" ht="12.75">
      <c r="A164" s="16">
        <f>DADOS!A163</f>
        <v>41264</v>
      </c>
      <c r="B164">
        <f>DADOS!E163</f>
        <v>381</v>
      </c>
      <c r="C164">
        <f>DADOS!D163</f>
        <v>7.42</v>
      </c>
      <c r="D164">
        <v>10.64</v>
      </c>
      <c r="E164" s="5">
        <f t="shared" si="8"/>
        <v>89743.33750211555</v>
      </c>
      <c r="F164" s="5">
        <f t="shared" si="9"/>
        <v>89804.5430870431</v>
      </c>
      <c r="G164" s="5">
        <f t="shared" si="10"/>
        <v>61.20558492754935</v>
      </c>
      <c r="H164" s="1">
        <f t="shared" si="11"/>
        <v>-1279399.44646343</v>
      </c>
    </row>
    <row r="165" spans="1:8" ht="12.75">
      <c r="A165" s="16">
        <f>DADOS!A164</f>
        <v>41269</v>
      </c>
      <c r="B165">
        <f>DADOS!E164</f>
        <v>379</v>
      </c>
      <c r="C165">
        <f>DADOS!D164</f>
        <v>7.36</v>
      </c>
      <c r="D165">
        <v>10.64</v>
      </c>
      <c r="E165" s="5">
        <f t="shared" si="8"/>
        <v>89869.81648918394</v>
      </c>
      <c r="F165" s="5">
        <f t="shared" si="9"/>
        <v>89779.35299521548</v>
      </c>
      <c r="G165" s="5">
        <f t="shared" si="10"/>
        <v>-90.46349396846199</v>
      </c>
      <c r="H165" s="1">
        <f t="shared" si="11"/>
        <v>-1369862.940431892</v>
      </c>
    </row>
    <row r="166" spans="1:8" ht="12.75">
      <c r="A166" s="16">
        <f>DADOS!A165</f>
        <v>41270</v>
      </c>
      <c r="B166">
        <f>DADOS!E165</f>
        <v>378</v>
      </c>
      <c r="C166">
        <f>DADOS!D165</f>
        <v>7.32</v>
      </c>
      <c r="D166">
        <v>10.64</v>
      </c>
      <c r="E166" s="5">
        <f t="shared" si="8"/>
        <v>89945.40963020065</v>
      </c>
      <c r="F166" s="5">
        <f t="shared" si="9"/>
        <v>89905.88274040377</v>
      </c>
      <c r="G166" s="5">
        <f t="shared" si="10"/>
        <v>-39.526889796878095</v>
      </c>
      <c r="H166" s="1">
        <f t="shared" si="11"/>
        <v>-1409389.8302287702</v>
      </c>
    </row>
    <row r="167" spans="1:8" ht="12.75">
      <c r="A167" s="16">
        <f>DADOS!A166</f>
        <v>41271</v>
      </c>
      <c r="B167">
        <f>DADOS!E166</f>
        <v>377</v>
      </c>
      <c r="C167">
        <f>DADOS!D166</f>
        <v>7.34</v>
      </c>
      <c r="D167">
        <v>10.64</v>
      </c>
      <c r="E167" s="5">
        <f t="shared" si="8"/>
        <v>89945.55033436512</v>
      </c>
      <c r="F167" s="5">
        <f t="shared" si="9"/>
        <v>89981.50621820452</v>
      </c>
      <c r="G167" s="5">
        <f t="shared" si="10"/>
        <v>35.955883839400485</v>
      </c>
      <c r="H167" s="1">
        <f t="shared" si="11"/>
        <v>-1373433.9463893697</v>
      </c>
    </row>
    <row r="168" spans="1:8" ht="12.75">
      <c r="A168" s="16">
        <f>DADOS!A167</f>
        <v>41276</v>
      </c>
      <c r="B168">
        <f>DADOS!E167</f>
        <v>375</v>
      </c>
      <c r="C168">
        <f>DADOS!D167</f>
        <v>7.31</v>
      </c>
      <c r="D168">
        <v>10.64</v>
      </c>
      <c r="E168" s="5">
        <f t="shared" si="8"/>
        <v>90033.57017508814</v>
      </c>
      <c r="F168" s="5">
        <f t="shared" si="9"/>
        <v>89981.64697883592</v>
      </c>
      <c r="G168" s="5">
        <f t="shared" si="10"/>
        <v>-51.92319625221717</v>
      </c>
      <c r="H168" s="1">
        <f t="shared" si="11"/>
        <v>-1425357.1426415867</v>
      </c>
    </row>
    <row r="169" spans="1:8" ht="12.75">
      <c r="A169" s="16">
        <f>DADOS!A168</f>
        <v>41277</v>
      </c>
      <c r="B169">
        <f>DADOS!E168</f>
        <v>374</v>
      </c>
      <c r="C169">
        <f>DADOS!D168</f>
        <v>7.31</v>
      </c>
      <c r="D169">
        <v>10.64</v>
      </c>
      <c r="E169" s="5">
        <f t="shared" si="8"/>
        <v>90058.7801224187</v>
      </c>
      <c r="F169" s="5">
        <f t="shared" si="9"/>
        <v>90069.70214338413</v>
      </c>
      <c r="G169" s="5">
        <f t="shared" si="10"/>
        <v>10.92202096543042</v>
      </c>
      <c r="H169" s="1">
        <f t="shared" si="11"/>
        <v>-1414435.1216761563</v>
      </c>
    </row>
    <row r="170" spans="1:8" ht="12.75">
      <c r="A170" s="16">
        <f>DADOS!A169</f>
        <v>41278</v>
      </c>
      <c r="B170">
        <f>DADOS!E169</f>
        <v>373</v>
      </c>
      <c r="C170">
        <f>DADOS!D169</f>
        <v>7.34</v>
      </c>
      <c r="D170">
        <v>10.64</v>
      </c>
      <c r="E170" s="5">
        <f t="shared" si="8"/>
        <v>90046.73338707004</v>
      </c>
      <c r="F170" s="5">
        <f t="shared" si="9"/>
        <v>90094.92220788561</v>
      </c>
      <c r="G170" s="5">
        <f t="shared" si="10"/>
        <v>48.1888208155724</v>
      </c>
      <c r="H170" s="1">
        <f t="shared" si="11"/>
        <v>-1366246.3008605838</v>
      </c>
    </row>
    <row r="171" spans="1:8" ht="12.75">
      <c r="A171" s="16">
        <f>DADOS!A170</f>
        <v>41281</v>
      </c>
      <c r="B171">
        <f>DADOS!E170</f>
        <v>372</v>
      </c>
      <c r="C171">
        <f>DADOS!D170</f>
        <v>7.31</v>
      </c>
      <c r="D171">
        <v>10.64</v>
      </c>
      <c r="E171" s="5">
        <f t="shared" si="8"/>
        <v>90109.22119587215</v>
      </c>
      <c r="F171" s="5">
        <f t="shared" si="9"/>
        <v>90082.8706379818</v>
      </c>
      <c r="G171" s="5">
        <f t="shared" si="10"/>
        <v>-26.350557890342316</v>
      </c>
      <c r="H171" s="1">
        <f t="shared" si="11"/>
        <v>-1392596.858750926</v>
      </c>
    </row>
    <row r="172" spans="1:8" ht="12.75">
      <c r="A172" s="16">
        <f>DADOS!A171</f>
        <v>41282</v>
      </c>
      <c r="B172">
        <f>DADOS!E171</f>
        <v>371</v>
      </c>
      <c r="C172">
        <f>DADOS!D171</f>
        <v>7.38</v>
      </c>
      <c r="D172">
        <v>10.64</v>
      </c>
      <c r="E172" s="5">
        <f t="shared" si="8"/>
        <v>90047.96111559717</v>
      </c>
      <c r="F172" s="5">
        <f t="shared" si="9"/>
        <v>90145.38352418029</v>
      </c>
      <c r="G172" s="5">
        <f t="shared" si="10"/>
        <v>97.42240858312289</v>
      </c>
      <c r="H172" s="1">
        <f t="shared" si="11"/>
        <v>-1295174.450167803</v>
      </c>
    </row>
    <row r="173" spans="1:8" ht="12.75">
      <c r="A173" s="16">
        <f>DADOS!A172</f>
        <v>41283</v>
      </c>
      <c r="B173">
        <f>DADOS!E172</f>
        <v>370</v>
      </c>
      <c r="C173">
        <f>DADOS!D172</f>
        <v>7.35</v>
      </c>
      <c r="D173">
        <v>10.64</v>
      </c>
      <c r="E173" s="5">
        <f t="shared" si="8"/>
        <v>90110.36931952047</v>
      </c>
      <c r="F173" s="5">
        <f t="shared" si="9"/>
        <v>90084.0988592168</v>
      </c>
      <c r="G173" s="5">
        <f t="shared" si="10"/>
        <v>-26.270460303669097</v>
      </c>
      <c r="H173" s="1">
        <f t="shared" si="11"/>
        <v>-1321444.9104714722</v>
      </c>
    </row>
    <row r="174" spans="1:8" ht="12.75">
      <c r="A174" s="16">
        <f>DADOS!A173</f>
        <v>41284</v>
      </c>
      <c r="B174">
        <f>DADOS!E173</f>
        <v>369</v>
      </c>
      <c r="C174">
        <f>DADOS!D173</f>
        <v>7.32</v>
      </c>
      <c r="D174">
        <v>10.64</v>
      </c>
      <c r="E174" s="5">
        <f t="shared" si="8"/>
        <v>90172.63111845557</v>
      </c>
      <c r="F174" s="5">
        <f t="shared" si="9"/>
        <v>90146.53210858972</v>
      </c>
      <c r="G174" s="5">
        <f t="shared" si="10"/>
        <v>-26.099009865851258</v>
      </c>
      <c r="H174" s="1">
        <f t="shared" si="11"/>
        <v>-1347543.9203373236</v>
      </c>
    </row>
    <row r="175" spans="1:8" ht="12.75">
      <c r="A175" s="16">
        <f>DADOS!A174</f>
        <v>41285</v>
      </c>
      <c r="B175">
        <f>DADOS!E174</f>
        <v>368</v>
      </c>
      <c r="C175">
        <f>DADOS!D174</f>
        <v>7.32</v>
      </c>
      <c r="D175">
        <v>10.64</v>
      </c>
      <c r="E175" s="5">
        <f t="shared" si="8"/>
        <v>90197.9133567374</v>
      </c>
      <c r="F175" s="5">
        <f t="shared" si="9"/>
        <v>90208.81889421967</v>
      </c>
      <c r="G175" s="5">
        <f t="shared" si="10"/>
        <v>10.905537482278305</v>
      </c>
      <c r="H175" s="1">
        <f t="shared" si="11"/>
        <v>-1336638.3828550451</v>
      </c>
    </row>
    <row r="176" spans="1:8" ht="12.75">
      <c r="A176" s="16">
        <f>DADOS!A175</f>
        <v>41288</v>
      </c>
      <c r="B176">
        <f>DADOS!E175</f>
        <v>367</v>
      </c>
      <c r="C176">
        <f>DADOS!D175</f>
        <v>7.31</v>
      </c>
      <c r="D176">
        <v>10.64</v>
      </c>
      <c r="E176" s="5">
        <f t="shared" si="8"/>
        <v>90235.44751473881</v>
      </c>
      <c r="F176" s="5">
        <f t="shared" si="9"/>
        <v>90234.11127868398</v>
      </c>
      <c r="G176" s="5">
        <f t="shared" si="10"/>
        <v>-1.336236054834444</v>
      </c>
      <c r="H176" s="1">
        <f t="shared" si="11"/>
        <v>-1337974.6189098796</v>
      </c>
    </row>
    <row r="177" spans="1:8" ht="12.75">
      <c r="A177" s="16"/>
      <c r="E177" s="5"/>
      <c r="F177" s="5"/>
      <c r="G177" s="5"/>
      <c r="H177" s="1"/>
    </row>
    <row r="178" spans="1:8" ht="12.75">
      <c r="A178" s="16"/>
      <c r="E178" s="5"/>
      <c r="F178" s="5"/>
      <c r="G178" s="5"/>
      <c r="H178" s="1"/>
    </row>
    <row r="179" spans="1:8" ht="12.75">
      <c r="A179" s="16"/>
      <c r="E179" s="5"/>
      <c r="F179" s="5"/>
      <c r="G179" s="5"/>
      <c r="H179" s="1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:AC499"/>
  <sheetViews>
    <sheetView zoomScalePageLayoutView="0" workbookViewId="0" topLeftCell="M151">
      <selection activeCell="Z171" sqref="Z171"/>
    </sheetView>
  </sheetViews>
  <sheetFormatPr defaultColWidth="9.140625" defaultRowHeight="12.75"/>
  <cols>
    <col min="1" max="1" width="12.8515625" style="0" bestFit="1" customWidth="1"/>
    <col min="4" max="4" width="13.140625" style="0" bestFit="1" customWidth="1"/>
    <col min="7" max="7" width="12.8515625" style="0" bestFit="1" customWidth="1"/>
    <col min="10" max="10" width="13.140625" style="0" bestFit="1" customWidth="1"/>
    <col min="11" max="11" width="8.8515625" style="0" bestFit="1" customWidth="1"/>
    <col min="13" max="13" width="15.421875" style="0" bestFit="1" customWidth="1"/>
    <col min="16" max="16" width="15.00390625" style="0" bestFit="1" customWidth="1"/>
  </cols>
  <sheetData>
    <row r="1" spans="1:16" ht="12.75">
      <c r="A1" s="121" t="s">
        <v>173</v>
      </c>
      <c r="D1" s="121" t="s">
        <v>172</v>
      </c>
      <c r="G1" s="121" t="s">
        <v>170</v>
      </c>
      <c r="J1" s="121" t="s">
        <v>171</v>
      </c>
      <c r="M1" s="121" t="s">
        <v>124</v>
      </c>
      <c r="P1" s="121" t="s">
        <v>129</v>
      </c>
    </row>
    <row r="2" spans="1:17" ht="12.75">
      <c r="A2" t="s">
        <v>122</v>
      </c>
      <c r="B2" t="s">
        <v>123</v>
      </c>
      <c r="D2" t="s">
        <v>122</v>
      </c>
      <c r="E2" t="s">
        <v>123</v>
      </c>
      <c r="G2" t="s">
        <v>122</v>
      </c>
      <c r="H2" t="s">
        <v>123</v>
      </c>
      <c r="J2" t="s">
        <v>122</v>
      </c>
      <c r="K2" t="s">
        <v>123</v>
      </c>
      <c r="M2" t="s">
        <v>122</v>
      </c>
      <c r="N2" t="s">
        <v>123</v>
      </c>
      <c r="P2" t="s">
        <v>122</v>
      </c>
      <c r="Q2" t="s">
        <v>123</v>
      </c>
    </row>
    <row r="3" spans="1:18" ht="12.75">
      <c r="A3" s="16" t="e">
        <f>_XLL.BDH($A$1,$B$2:$B$2,"2/5/2012","2/5/2013","Dir=V","Dts=S","Sort=A","Quote=C","QtTyp=Y","Days=T","Per=cd","DtFmt=D","cols=2;rows=246")</f>
        <v>#NAME?</v>
      </c>
      <c r="B3">
        <v>9.35</v>
      </c>
      <c r="D3" s="16" t="e">
        <f>_XLL.BDH($D$1,$E$2:$E$2,"2/5/2012","2/5/2013","Dir=V","Dts=S","Sort=A","Quote=C","QtTyp=Y","Days=T","Per=cd","DtFmt=D","cols=2;rows=246")</f>
        <v>#NAME?</v>
      </c>
      <c r="E3">
        <v>9.17</v>
      </c>
      <c r="G3" s="16" t="e">
        <f>_XLL.BDH($G$1,$H$2:$H$2,"2/5/2012","2/5/2013","Dir=V","Dts=S","Sort=A","Quote=C","QtTyp=Y","Days=T","Per=cd","DtFmt=D","cols=2;rows=246")</f>
        <v>#NAME?</v>
      </c>
      <c r="H3">
        <v>8.54</v>
      </c>
      <c r="J3" s="16" t="e">
        <f>_XLL.BDH($J$1,$K$2,"2/5/2012","2/5/2013","Dir=V","Dts=S","Sort=A","Quote=C","QtTyp=Y","Days=T","Per=cd","DtFmt=D","cols=2;rows=246")</f>
        <v>#NAME?</v>
      </c>
      <c r="K3">
        <v>8.87</v>
      </c>
      <c r="M3" s="16" t="e">
        <f>_XLL.BDH($M$1,$N$2:$N$2,"2/5/2012","2/5/2013","Dir=V","Dts=S","Sort=A","Quote=C","QtTyp=Y","Days=T","Per=cd","DtFmt=D","cols=2;rows=250")</f>
        <v>#NAME?</v>
      </c>
      <c r="N3">
        <v>8.76</v>
      </c>
      <c r="P3" s="16" t="e">
        <f>_XLL.BDH($P$1,$Q$2:$Q$2,"2/5/2012","2/5/2013","Dir=V","Dts=S","Sort=A","Quote=C","QtTyp=Y","Days=T","Per=cd","DtFmt=D","cols=2;rows=250")</f>
        <v>#NAME?</v>
      </c>
      <c r="Q3">
        <v>8.9</v>
      </c>
      <c r="R3" t="e">
        <f>M3-J3</f>
        <v>#NAME?</v>
      </c>
    </row>
    <row r="4" spans="1:18" ht="12.75">
      <c r="A4" s="16">
        <v>41032</v>
      </c>
      <c r="B4">
        <v>9.36</v>
      </c>
      <c r="D4" s="16">
        <v>41032</v>
      </c>
      <c r="E4">
        <v>9.14</v>
      </c>
      <c r="G4" s="16">
        <v>41032</v>
      </c>
      <c r="H4">
        <v>8.51</v>
      </c>
      <c r="J4" s="16">
        <v>41032</v>
      </c>
      <c r="K4">
        <v>8.83</v>
      </c>
      <c r="M4" s="16">
        <v>41032</v>
      </c>
      <c r="N4">
        <v>8.76</v>
      </c>
      <c r="P4" s="16">
        <v>41032</v>
      </c>
      <c r="Q4">
        <v>8.9</v>
      </c>
      <c r="R4">
        <f aca="true" t="shared" si="0" ref="R4:R67">M4-J4</f>
        <v>0</v>
      </c>
    </row>
    <row r="5" spans="1:18" ht="12.75">
      <c r="A5" s="16">
        <v>41033</v>
      </c>
      <c r="B5">
        <v>9.08</v>
      </c>
      <c r="D5" s="16">
        <v>41033</v>
      </c>
      <c r="E5">
        <v>8.84</v>
      </c>
      <c r="G5" s="16">
        <v>41033</v>
      </c>
      <c r="H5">
        <v>8.28</v>
      </c>
      <c r="J5" s="16">
        <v>41033</v>
      </c>
      <c r="K5">
        <v>8.54</v>
      </c>
      <c r="M5" s="16">
        <v>41033</v>
      </c>
      <c r="N5">
        <v>8.71</v>
      </c>
      <c r="P5" s="16">
        <v>41033</v>
      </c>
      <c r="Q5">
        <v>8.9</v>
      </c>
      <c r="R5">
        <f t="shared" si="0"/>
        <v>0</v>
      </c>
    </row>
    <row r="6" spans="1:18" ht="12.75">
      <c r="A6" s="16">
        <v>41036</v>
      </c>
      <c r="B6">
        <v>8.97</v>
      </c>
      <c r="D6" s="16">
        <v>41036</v>
      </c>
      <c r="E6">
        <v>8.76</v>
      </c>
      <c r="G6" s="16">
        <v>41036</v>
      </c>
      <c r="H6">
        <v>8.24</v>
      </c>
      <c r="J6" s="16">
        <v>41036</v>
      </c>
      <c r="K6">
        <v>8.47</v>
      </c>
      <c r="M6" s="16">
        <v>41036</v>
      </c>
      <c r="N6">
        <v>8.71</v>
      </c>
      <c r="P6" s="16">
        <v>41036</v>
      </c>
      <c r="Q6">
        <v>8.9</v>
      </c>
      <c r="R6">
        <f t="shared" si="0"/>
        <v>0</v>
      </c>
    </row>
    <row r="7" spans="1:18" ht="12.75">
      <c r="A7" s="16">
        <v>41037</v>
      </c>
      <c r="B7">
        <v>9.2</v>
      </c>
      <c r="D7" s="16">
        <v>41037</v>
      </c>
      <c r="E7">
        <v>8.96</v>
      </c>
      <c r="G7" s="16">
        <v>41037</v>
      </c>
      <c r="H7">
        <v>8.38</v>
      </c>
      <c r="J7" s="16">
        <v>41037</v>
      </c>
      <c r="K7">
        <v>8.68</v>
      </c>
      <c r="M7" s="16">
        <v>41037</v>
      </c>
      <c r="N7">
        <v>8.69</v>
      </c>
      <c r="P7" s="16">
        <v>41037</v>
      </c>
      <c r="Q7">
        <v>8.9</v>
      </c>
      <c r="R7">
        <f t="shared" si="0"/>
        <v>0</v>
      </c>
    </row>
    <row r="8" spans="1:18" ht="12.75">
      <c r="A8" s="16">
        <v>41038</v>
      </c>
      <c r="B8">
        <v>9.44</v>
      </c>
      <c r="D8" s="16">
        <v>41038</v>
      </c>
      <c r="E8">
        <v>9.19</v>
      </c>
      <c r="G8" s="16">
        <v>41038</v>
      </c>
      <c r="H8">
        <v>8.56</v>
      </c>
      <c r="J8" s="16">
        <v>41038</v>
      </c>
      <c r="K8">
        <v>8.88</v>
      </c>
      <c r="M8" s="16">
        <v>41038</v>
      </c>
      <c r="N8">
        <v>8.69</v>
      </c>
      <c r="P8" s="16">
        <v>41038</v>
      </c>
      <c r="Q8">
        <v>8.9</v>
      </c>
      <c r="R8">
        <f t="shared" si="0"/>
        <v>0</v>
      </c>
    </row>
    <row r="9" spans="1:18" ht="12.75">
      <c r="A9" s="16">
        <v>41039</v>
      </c>
      <c r="B9">
        <v>9.27</v>
      </c>
      <c r="D9" s="16">
        <v>41039</v>
      </c>
      <c r="E9">
        <v>9.02</v>
      </c>
      <c r="G9" s="16">
        <v>41039</v>
      </c>
      <c r="H9">
        <v>8.46</v>
      </c>
      <c r="J9" s="16">
        <v>41039</v>
      </c>
      <c r="K9">
        <v>8.75</v>
      </c>
      <c r="M9" s="16">
        <v>41039</v>
      </c>
      <c r="N9">
        <v>8.68</v>
      </c>
      <c r="P9" s="16">
        <v>41039</v>
      </c>
      <c r="Q9">
        <v>8.9</v>
      </c>
      <c r="R9">
        <f t="shared" si="0"/>
        <v>0</v>
      </c>
    </row>
    <row r="10" spans="1:18" ht="12.75">
      <c r="A10" s="16">
        <v>41040</v>
      </c>
      <c r="B10">
        <v>9.3</v>
      </c>
      <c r="D10" s="16">
        <v>41040</v>
      </c>
      <c r="E10">
        <v>9.06</v>
      </c>
      <c r="G10" s="16">
        <v>41040</v>
      </c>
      <c r="H10">
        <v>8.47</v>
      </c>
      <c r="J10" s="16">
        <v>41040</v>
      </c>
      <c r="K10">
        <v>8.76</v>
      </c>
      <c r="M10" s="16">
        <v>41040</v>
      </c>
      <c r="N10">
        <v>8.68</v>
      </c>
      <c r="P10" s="16">
        <v>41040</v>
      </c>
      <c r="Q10">
        <v>8.9</v>
      </c>
      <c r="R10">
        <f t="shared" si="0"/>
        <v>0</v>
      </c>
    </row>
    <row r="11" spans="1:18" ht="12.75">
      <c r="A11" s="16">
        <v>41043</v>
      </c>
      <c r="B11">
        <v>9.26</v>
      </c>
      <c r="D11" s="16">
        <v>41043</v>
      </c>
      <c r="E11">
        <v>9.01</v>
      </c>
      <c r="G11" s="16">
        <v>41043</v>
      </c>
      <c r="H11">
        <v>8.38</v>
      </c>
      <c r="J11" s="16">
        <v>41043</v>
      </c>
      <c r="K11">
        <v>8.69</v>
      </c>
      <c r="M11" s="16">
        <v>41043</v>
      </c>
      <c r="N11">
        <v>8.63</v>
      </c>
      <c r="P11" s="16">
        <v>41043</v>
      </c>
      <c r="Q11">
        <v>8.89</v>
      </c>
      <c r="R11">
        <f t="shared" si="0"/>
        <v>0</v>
      </c>
    </row>
    <row r="12" spans="1:18" ht="12.75">
      <c r="A12" s="16">
        <v>41044</v>
      </c>
      <c r="B12">
        <v>9.2</v>
      </c>
      <c r="D12" s="16">
        <v>41044</v>
      </c>
      <c r="E12">
        <v>8.93</v>
      </c>
      <c r="G12" s="16">
        <v>41044</v>
      </c>
      <c r="H12">
        <v>8.32</v>
      </c>
      <c r="J12" s="16">
        <v>41044</v>
      </c>
      <c r="K12">
        <v>8.62</v>
      </c>
      <c r="M12" s="16">
        <v>41044</v>
      </c>
      <c r="N12">
        <v>8.72</v>
      </c>
      <c r="P12" s="16">
        <v>41044</v>
      </c>
      <c r="Q12">
        <v>8.89</v>
      </c>
      <c r="R12">
        <f t="shared" si="0"/>
        <v>0</v>
      </c>
    </row>
    <row r="13" spans="1:18" ht="12.75">
      <c r="A13" s="16">
        <v>41045</v>
      </c>
      <c r="B13">
        <v>9.09</v>
      </c>
      <c r="D13" s="16">
        <v>41045</v>
      </c>
      <c r="E13">
        <v>8.84</v>
      </c>
      <c r="G13" s="16">
        <v>41045</v>
      </c>
      <c r="H13">
        <v>8.21</v>
      </c>
      <c r="J13" s="16">
        <v>41045</v>
      </c>
      <c r="K13">
        <v>8.5</v>
      </c>
      <c r="M13" s="16">
        <v>41045</v>
      </c>
      <c r="N13">
        <v>8.73</v>
      </c>
      <c r="P13" s="16">
        <v>41045</v>
      </c>
      <c r="Q13">
        <v>8.89</v>
      </c>
      <c r="R13">
        <f t="shared" si="0"/>
        <v>0</v>
      </c>
    </row>
    <row r="14" spans="1:18" ht="12.75">
      <c r="A14" s="16">
        <v>41046</v>
      </c>
      <c r="B14">
        <v>8.98</v>
      </c>
      <c r="D14" s="16">
        <v>41046</v>
      </c>
      <c r="E14">
        <v>8.75</v>
      </c>
      <c r="G14" s="16">
        <v>41046</v>
      </c>
      <c r="H14">
        <v>8.18</v>
      </c>
      <c r="J14" s="16">
        <v>41046</v>
      </c>
      <c r="K14">
        <v>8.45</v>
      </c>
      <c r="M14" s="16">
        <v>41046</v>
      </c>
      <c r="N14">
        <v>8.74</v>
      </c>
      <c r="P14" s="16">
        <v>41046</v>
      </c>
      <c r="Q14">
        <v>8.89</v>
      </c>
      <c r="R14">
        <f t="shared" si="0"/>
        <v>0</v>
      </c>
    </row>
    <row r="15" spans="1:18" ht="12.75">
      <c r="A15" s="16">
        <v>41047</v>
      </c>
      <c r="B15">
        <v>8.9</v>
      </c>
      <c r="D15" s="16">
        <v>41047</v>
      </c>
      <c r="E15">
        <v>8.63</v>
      </c>
      <c r="G15" s="16">
        <v>41047</v>
      </c>
      <c r="H15">
        <v>8.07</v>
      </c>
      <c r="J15" s="16">
        <v>41047</v>
      </c>
      <c r="K15">
        <v>8.33</v>
      </c>
      <c r="M15" s="16">
        <v>41047</v>
      </c>
      <c r="N15">
        <v>8.76</v>
      </c>
      <c r="P15" s="16">
        <v>41047</v>
      </c>
      <c r="Q15">
        <v>8.89</v>
      </c>
      <c r="R15">
        <f t="shared" si="0"/>
        <v>0</v>
      </c>
    </row>
    <row r="16" spans="1:18" ht="12.75">
      <c r="A16" s="16">
        <v>41050</v>
      </c>
      <c r="B16">
        <v>9.03</v>
      </c>
      <c r="D16" s="16">
        <v>41050</v>
      </c>
      <c r="E16">
        <v>8.76</v>
      </c>
      <c r="G16" s="16">
        <v>41050</v>
      </c>
      <c r="H16">
        <v>8.19</v>
      </c>
      <c r="J16" s="16">
        <v>41050</v>
      </c>
      <c r="K16">
        <v>8.46</v>
      </c>
      <c r="M16" s="16">
        <v>41050</v>
      </c>
      <c r="N16">
        <v>8.73</v>
      </c>
      <c r="P16" s="16">
        <v>41050</v>
      </c>
      <c r="Q16">
        <v>8.89</v>
      </c>
      <c r="R16">
        <f t="shared" si="0"/>
        <v>0</v>
      </c>
    </row>
    <row r="17" spans="1:18" ht="12.75">
      <c r="A17" s="16">
        <v>41051</v>
      </c>
      <c r="B17">
        <v>9.35</v>
      </c>
      <c r="D17" s="16">
        <v>41051</v>
      </c>
      <c r="E17">
        <v>9.06</v>
      </c>
      <c r="G17" s="16">
        <v>41051</v>
      </c>
      <c r="H17">
        <v>8.44</v>
      </c>
      <c r="J17" s="16">
        <v>41051</v>
      </c>
      <c r="K17">
        <v>8.73</v>
      </c>
      <c r="M17" s="16">
        <v>41051</v>
      </c>
      <c r="N17">
        <v>8.77</v>
      </c>
      <c r="P17" s="16">
        <v>41051</v>
      </c>
      <c r="Q17">
        <v>8.89</v>
      </c>
      <c r="R17">
        <f t="shared" si="0"/>
        <v>0</v>
      </c>
    </row>
    <row r="18" spans="1:18" ht="12.75">
      <c r="A18" s="16">
        <v>41052</v>
      </c>
      <c r="B18">
        <v>9.19</v>
      </c>
      <c r="D18" s="16">
        <v>41052</v>
      </c>
      <c r="E18">
        <v>8.92</v>
      </c>
      <c r="G18" s="16">
        <v>41052</v>
      </c>
      <c r="H18">
        <v>8.34</v>
      </c>
      <c r="J18" s="16">
        <v>41052</v>
      </c>
      <c r="K18">
        <v>8.62</v>
      </c>
      <c r="M18" s="16">
        <v>41052</v>
      </c>
      <c r="N18">
        <v>8.78</v>
      </c>
      <c r="P18" s="16">
        <v>41052</v>
      </c>
      <c r="Q18">
        <v>8.89</v>
      </c>
      <c r="R18">
        <f t="shared" si="0"/>
        <v>0</v>
      </c>
    </row>
    <row r="19" spans="1:18" ht="12.75">
      <c r="A19" s="16">
        <v>41053</v>
      </c>
      <c r="B19">
        <v>9.43</v>
      </c>
      <c r="D19" s="16">
        <v>41053</v>
      </c>
      <c r="E19">
        <v>9.17</v>
      </c>
      <c r="G19" s="16">
        <v>41053</v>
      </c>
      <c r="H19">
        <v>8.62</v>
      </c>
      <c r="J19" s="16">
        <v>41053</v>
      </c>
      <c r="K19">
        <v>8.85</v>
      </c>
      <c r="M19" s="16">
        <v>41053</v>
      </c>
      <c r="N19">
        <v>8.78</v>
      </c>
      <c r="P19" s="16">
        <v>41053</v>
      </c>
      <c r="Q19">
        <v>8.89</v>
      </c>
      <c r="R19">
        <f t="shared" si="0"/>
        <v>0</v>
      </c>
    </row>
    <row r="20" spans="1:18" ht="12.75">
      <c r="A20" s="16">
        <v>41054</v>
      </c>
      <c r="B20">
        <v>9.3</v>
      </c>
      <c r="D20" s="16">
        <v>41054</v>
      </c>
      <c r="E20">
        <v>9.06</v>
      </c>
      <c r="G20" s="16">
        <v>41054</v>
      </c>
      <c r="H20">
        <v>8.52</v>
      </c>
      <c r="J20" s="16">
        <v>41054</v>
      </c>
      <c r="K20">
        <v>8.76</v>
      </c>
      <c r="M20" s="16">
        <v>41054</v>
      </c>
      <c r="N20">
        <v>8.79</v>
      </c>
      <c r="P20" s="16">
        <v>41054</v>
      </c>
      <c r="Q20">
        <v>8.89</v>
      </c>
      <c r="R20">
        <f t="shared" si="0"/>
        <v>0</v>
      </c>
    </row>
    <row r="21" spans="1:18" ht="12.75">
      <c r="A21" s="16">
        <v>41057</v>
      </c>
      <c r="B21">
        <v>9.24</v>
      </c>
      <c r="D21" s="16">
        <v>41057</v>
      </c>
      <c r="E21">
        <v>9</v>
      </c>
      <c r="G21" s="16">
        <v>41057</v>
      </c>
      <c r="H21">
        <v>8.51</v>
      </c>
      <c r="J21" s="16">
        <v>41057</v>
      </c>
      <c r="K21">
        <v>8.73</v>
      </c>
      <c r="M21" s="16">
        <v>41057</v>
      </c>
      <c r="N21">
        <v>8.78</v>
      </c>
      <c r="P21" s="16">
        <v>41057</v>
      </c>
      <c r="Q21">
        <v>8.89</v>
      </c>
      <c r="R21">
        <f t="shared" si="0"/>
        <v>0</v>
      </c>
    </row>
    <row r="22" spans="1:18" ht="12.75">
      <c r="A22" s="16">
        <v>41058</v>
      </c>
      <c r="B22">
        <v>9.09</v>
      </c>
      <c r="D22" s="16">
        <v>41058</v>
      </c>
      <c r="E22">
        <v>8.86</v>
      </c>
      <c r="G22" s="16">
        <v>41058</v>
      </c>
      <c r="H22">
        <v>8.35</v>
      </c>
      <c r="J22" s="16">
        <v>41058</v>
      </c>
      <c r="K22">
        <v>8.57</v>
      </c>
      <c r="M22" s="16">
        <v>41058</v>
      </c>
      <c r="N22">
        <v>8.79</v>
      </c>
      <c r="P22" s="16">
        <v>41058</v>
      </c>
      <c r="Q22">
        <v>8.89</v>
      </c>
      <c r="R22">
        <f t="shared" si="0"/>
        <v>0</v>
      </c>
    </row>
    <row r="23" spans="1:18" ht="12.75">
      <c r="A23" s="16">
        <v>41059</v>
      </c>
      <c r="B23">
        <v>9.08</v>
      </c>
      <c r="D23" s="16">
        <v>41059</v>
      </c>
      <c r="E23">
        <v>8.86</v>
      </c>
      <c r="G23" s="16">
        <v>41059</v>
      </c>
      <c r="H23">
        <v>8.34</v>
      </c>
      <c r="J23" s="16">
        <v>41059</v>
      </c>
      <c r="K23">
        <v>8.56</v>
      </c>
      <c r="M23" s="16">
        <v>41059</v>
      </c>
      <c r="N23">
        <v>8.81</v>
      </c>
      <c r="P23" s="16">
        <v>41059</v>
      </c>
      <c r="Q23">
        <v>8.88</v>
      </c>
      <c r="R23">
        <f t="shared" si="0"/>
        <v>0</v>
      </c>
    </row>
    <row r="24" spans="1:18" ht="12.75">
      <c r="A24" s="16">
        <v>41060</v>
      </c>
      <c r="B24">
        <v>9.17</v>
      </c>
      <c r="D24" s="16">
        <v>41060</v>
      </c>
      <c r="E24">
        <v>8.89</v>
      </c>
      <c r="G24" s="16">
        <v>41060</v>
      </c>
      <c r="H24">
        <v>8.27</v>
      </c>
      <c r="J24" s="16">
        <v>41060</v>
      </c>
      <c r="K24">
        <v>8.52</v>
      </c>
      <c r="M24" s="16">
        <v>41060</v>
      </c>
      <c r="N24">
        <v>8.33</v>
      </c>
      <c r="P24" s="16">
        <v>41060</v>
      </c>
      <c r="Q24">
        <v>8.39</v>
      </c>
      <c r="R24">
        <f t="shared" si="0"/>
        <v>0</v>
      </c>
    </row>
    <row r="25" spans="1:18" ht="12.75">
      <c r="A25" s="16">
        <v>41061</v>
      </c>
      <c r="B25">
        <v>9.13</v>
      </c>
      <c r="D25" s="16">
        <v>41061</v>
      </c>
      <c r="E25">
        <v>8.88</v>
      </c>
      <c r="G25" s="16">
        <v>41061</v>
      </c>
      <c r="H25">
        <v>8.23</v>
      </c>
      <c r="J25" s="16">
        <v>41061</v>
      </c>
      <c r="K25">
        <v>8.51</v>
      </c>
      <c r="M25" s="16">
        <v>41061</v>
      </c>
      <c r="N25">
        <v>8.34</v>
      </c>
      <c r="P25" s="16">
        <v>41061</v>
      </c>
      <c r="Q25">
        <v>8.39</v>
      </c>
      <c r="R25">
        <f t="shared" si="0"/>
        <v>0</v>
      </c>
    </row>
    <row r="26" spans="1:18" ht="12.75">
      <c r="A26" s="16">
        <v>41064</v>
      </c>
      <c r="B26">
        <v>9.41</v>
      </c>
      <c r="D26" s="16">
        <v>41064</v>
      </c>
      <c r="E26">
        <v>9.11</v>
      </c>
      <c r="G26" s="16">
        <v>41064</v>
      </c>
      <c r="H26">
        <v>8.39</v>
      </c>
      <c r="J26" s="16">
        <v>41064</v>
      </c>
      <c r="K26">
        <v>8.71</v>
      </c>
      <c r="M26" s="16">
        <v>41064</v>
      </c>
      <c r="N26">
        <v>8.35</v>
      </c>
      <c r="P26" s="16">
        <v>41064</v>
      </c>
      <c r="Q26">
        <v>8.39</v>
      </c>
      <c r="R26">
        <f t="shared" si="0"/>
        <v>0</v>
      </c>
    </row>
    <row r="27" spans="1:18" ht="12.75">
      <c r="A27" s="16">
        <v>41065</v>
      </c>
      <c r="B27">
        <v>9.36</v>
      </c>
      <c r="D27" s="16">
        <v>41065</v>
      </c>
      <c r="E27">
        <v>9.03</v>
      </c>
      <c r="G27" s="16">
        <v>41065</v>
      </c>
      <c r="H27">
        <v>8.33</v>
      </c>
      <c r="J27" s="16">
        <v>41065</v>
      </c>
      <c r="K27">
        <v>8.67</v>
      </c>
      <c r="M27" s="16">
        <v>41065</v>
      </c>
      <c r="N27">
        <v>8.36</v>
      </c>
      <c r="P27" s="16">
        <v>41065</v>
      </c>
      <c r="Q27">
        <v>8.39</v>
      </c>
      <c r="R27">
        <f t="shared" si="0"/>
        <v>0</v>
      </c>
    </row>
    <row r="28" spans="1:18" ht="12.75">
      <c r="A28" s="16">
        <v>41066</v>
      </c>
      <c r="B28">
        <v>9.28</v>
      </c>
      <c r="D28" s="16">
        <v>41066</v>
      </c>
      <c r="E28">
        <v>8.97</v>
      </c>
      <c r="G28" s="16">
        <v>41066</v>
      </c>
      <c r="H28">
        <v>8.28</v>
      </c>
      <c r="J28" s="16">
        <v>41066</v>
      </c>
      <c r="K28">
        <v>8.61</v>
      </c>
      <c r="M28" s="16">
        <v>41066</v>
      </c>
      <c r="N28">
        <v>8.32</v>
      </c>
      <c r="P28" s="16">
        <v>41066</v>
      </c>
      <c r="Q28">
        <v>8.39</v>
      </c>
      <c r="R28">
        <f t="shared" si="0"/>
        <v>0</v>
      </c>
    </row>
    <row r="29" spans="1:18" ht="12.75">
      <c r="A29" s="16">
        <v>41068</v>
      </c>
      <c r="B29">
        <v>9.09</v>
      </c>
      <c r="D29" s="16">
        <v>41068</v>
      </c>
      <c r="E29">
        <v>8.79</v>
      </c>
      <c r="G29" s="16">
        <v>41068</v>
      </c>
      <c r="H29">
        <v>8.14</v>
      </c>
      <c r="J29" s="16">
        <v>41068</v>
      </c>
      <c r="K29">
        <v>8.48</v>
      </c>
      <c r="M29" s="16">
        <v>41068</v>
      </c>
      <c r="N29">
        <v>8.36</v>
      </c>
      <c r="P29" s="16">
        <v>41068</v>
      </c>
      <c r="Q29">
        <v>8.39</v>
      </c>
      <c r="R29">
        <f t="shared" si="0"/>
        <v>0</v>
      </c>
    </row>
    <row r="30" spans="1:18" ht="12.75">
      <c r="A30" s="16">
        <v>41071</v>
      </c>
      <c r="B30">
        <v>9.16</v>
      </c>
      <c r="D30" s="16">
        <v>41071</v>
      </c>
      <c r="E30">
        <v>8.83</v>
      </c>
      <c r="G30" s="16">
        <v>41071</v>
      </c>
      <c r="H30">
        <v>8.09</v>
      </c>
      <c r="J30" s="16">
        <v>41071</v>
      </c>
      <c r="K30">
        <v>8.49</v>
      </c>
      <c r="M30" s="16">
        <v>41071</v>
      </c>
      <c r="N30">
        <v>8.32</v>
      </c>
      <c r="P30" s="16">
        <v>41071</v>
      </c>
      <c r="Q30">
        <v>8.39</v>
      </c>
      <c r="R30">
        <f t="shared" si="0"/>
        <v>0</v>
      </c>
    </row>
    <row r="31" spans="1:18" ht="12.75">
      <c r="A31" s="16">
        <v>41072</v>
      </c>
      <c r="B31">
        <v>9.093</v>
      </c>
      <c r="D31" s="16">
        <v>41072</v>
      </c>
      <c r="E31">
        <v>8.74</v>
      </c>
      <c r="G31" s="16">
        <v>41072</v>
      </c>
      <c r="H31">
        <v>8.04</v>
      </c>
      <c r="J31" s="16">
        <v>41072</v>
      </c>
      <c r="K31">
        <v>8.4</v>
      </c>
      <c r="M31" s="16">
        <v>41072</v>
      </c>
      <c r="N31">
        <v>8.34</v>
      </c>
      <c r="P31" s="16">
        <v>41072</v>
      </c>
      <c r="Q31">
        <v>8.39</v>
      </c>
      <c r="R31">
        <f t="shared" si="0"/>
        <v>0</v>
      </c>
    </row>
    <row r="32" spans="1:18" ht="12.75">
      <c r="A32" s="16">
        <v>41073</v>
      </c>
      <c r="B32">
        <v>9</v>
      </c>
      <c r="D32" s="16">
        <v>41073</v>
      </c>
      <c r="E32">
        <v>8.69</v>
      </c>
      <c r="G32" s="16">
        <v>41073</v>
      </c>
      <c r="H32">
        <v>8</v>
      </c>
      <c r="J32" s="16">
        <v>41073</v>
      </c>
      <c r="K32">
        <v>8.35</v>
      </c>
      <c r="M32" s="16">
        <v>41073</v>
      </c>
      <c r="N32">
        <v>8.35</v>
      </c>
      <c r="P32" s="16">
        <v>41073</v>
      </c>
      <c r="Q32">
        <v>8.39</v>
      </c>
      <c r="R32">
        <f t="shared" si="0"/>
        <v>0</v>
      </c>
    </row>
    <row r="33" spans="1:18" ht="12.75">
      <c r="A33" s="16">
        <v>41074</v>
      </c>
      <c r="B33">
        <v>8.982</v>
      </c>
      <c r="D33" s="16">
        <v>41074</v>
      </c>
      <c r="E33">
        <v>8.66</v>
      </c>
      <c r="G33" s="16">
        <v>41074</v>
      </c>
      <c r="H33">
        <v>7.98</v>
      </c>
      <c r="J33" s="16">
        <v>41074</v>
      </c>
      <c r="K33">
        <v>8.33</v>
      </c>
      <c r="M33" s="16">
        <v>41074</v>
      </c>
      <c r="N33">
        <v>8.34</v>
      </c>
      <c r="P33" s="16">
        <v>41074</v>
      </c>
      <c r="Q33">
        <v>8.39</v>
      </c>
      <c r="R33">
        <f t="shared" si="0"/>
        <v>0</v>
      </c>
    </row>
    <row r="34" spans="1:18" ht="12.75">
      <c r="A34" s="16">
        <v>41075</v>
      </c>
      <c r="B34">
        <v>9.14</v>
      </c>
      <c r="D34" s="16">
        <v>41075</v>
      </c>
      <c r="E34">
        <v>8.82</v>
      </c>
      <c r="G34" s="16">
        <v>41075</v>
      </c>
      <c r="H34">
        <v>8.09</v>
      </c>
      <c r="J34" s="16">
        <v>41075</v>
      </c>
      <c r="K34">
        <v>8.45</v>
      </c>
      <c r="M34" s="16">
        <v>41075</v>
      </c>
      <c r="N34">
        <v>8.32</v>
      </c>
      <c r="P34" s="16">
        <v>41075</v>
      </c>
      <c r="Q34">
        <v>8.39</v>
      </c>
      <c r="R34">
        <f t="shared" si="0"/>
        <v>0</v>
      </c>
    </row>
    <row r="35" spans="1:18" ht="12.75">
      <c r="A35" s="16">
        <v>41078</v>
      </c>
      <c r="B35">
        <v>9.08</v>
      </c>
      <c r="D35" s="16">
        <v>41078</v>
      </c>
      <c r="E35">
        <v>8.74</v>
      </c>
      <c r="G35" s="16">
        <v>41078</v>
      </c>
      <c r="H35">
        <v>8.05</v>
      </c>
      <c r="J35" s="16">
        <v>41078</v>
      </c>
      <c r="K35">
        <v>8.4</v>
      </c>
      <c r="M35" s="16">
        <v>41078</v>
      </c>
      <c r="N35">
        <v>8.35</v>
      </c>
      <c r="P35" s="16">
        <v>41078</v>
      </c>
      <c r="Q35">
        <v>8.39</v>
      </c>
      <c r="R35">
        <f t="shared" si="0"/>
        <v>0</v>
      </c>
    </row>
    <row r="36" spans="1:18" ht="12.75">
      <c r="A36" s="16">
        <v>41079</v>
      </c>
      <c r="B36">
        <v>8.98</v>
      </c>
      <c r="D36" s="16">
        <v>41079</v>
      </c>
      <c r="E36">
        <v>8.68</v>
      </c>
      <c r="G36" s="16">
        <v>41079</v>
      </c>
      <c r="H36">
        <v>8.03</v>
      </c>
      <c r="J36" s="16">
        <v>41079</v>
      </c>
      <c r="K36">
        <v>8.36</v>
      </c>
      <c r="M36" s="16">
        <v>41079</v>
      </c>
      <c r="N36">
        <v>8.32</v>
      </c>
      <c r="P36" s="16">
        <v>41079</v>
      </c>
      <c r="Q36">
        <v>8.39</v>
      </c>
      <c r="R36">
        <f t="shared" si="0"/>
        <v>0</v>
      </c>
    </row>
    <row r="37" spans="1:18" ht="12.75">
      <c r="A37" s="16">
        <v>41080</v>
      </c>
      <c r="B37">
        <v>9.01</v>
      </c>
      <c r="D37" s="16">
        <v>41080</v>
      </c>
      <c r="E37">
        <v>8.73</v>
      </c>
      <c r="G37" s="16">
        <v>41080</v>
      </c>
      <c r="H37">
        <v>8.08</v>
      </c>
      <c r="J37" s="16">
        <v>41080</v>
      </c>
      <c r="K37">
        <v>8.38</v>
      </c>
      <c r="M37" s="16">
        <v>41080</v>
      </c>
      <c r="N37">
        <v>8.37</v>
      </c>
      <c r="P37" s="16">
        <v>41080</v>
      </c>
      <c r="Q37">
        <v>8.39</v>
      </c>
      <c r="R37">
        <f t="shared" si="0"/>
        <v>0</v>
      </c>
    </row>
    <row r="38" spans="1:18" ht="12.75">
      <c r="A38" s="16">
        <v>41081</v>
      </c>
      <c r="B38">
        <v>8.92</v>
      </c>
      <c r="D38" s="16">
        <v>41081</v>
      </c>
      <c r="E38">
        <v>8.67</v>
      </c>
      <c r="G38" s="16">
        <v>41081</v>
      </c>
      <c r="H38">
        <v>8.05</v>
      </c>
      <c r="J38" s="16">
        <v>41081</v>
      </c>
      <c r="K38">
        <v>8.35</v>
      </c>
      <c r="M38" s="16">
        <v>41081</v>
      </c>
      <c r="N38">
        <v>8.38</v>
      </c>
      <c r="P38" s="16">
        <v>41081</v>
      </c>
      <c r="Q38">
        <v>8.39</v>
      </c>
      <c r="R38">
        <f t="shared" si="0"/>
        <v>0</v>
      </c>
    </row>
    <row r="39" spans="1:18" ht="12.75">
      <c r="A39" s="16">
        <v>41082</v>
      </c>
      <c r="B39">
        <v>8.92</v>
      </c>
      <c r="D39" s="16">
        <v>41082</v>
      </c>
      <c r="E39">
        <v>8.64</v>
      </c>
      <c r="G39" s="16">
        <v>41082</v>
      </c>
      <c r="H39">
        <v>8.05</v>
      </c>
      <c r="J39" s="16">
        <v>41082</v>
      </c>
      <c r="K39">
        <v>8.33</v>
      </c>
      <c r="M39" s="16">
        <v>41082</v>
      </c>
      <c r="N39">
        <v>8.36</v>
      </c>
      <c r="P39" s="16">
        <v>41082</v>
      </c>
      <c r="Q39">
        <v>8.39</v>
      </c>
      <c r="R39">
        <f t="shared" si="0"/>
        <v>0</v>
      </c>
    </row>
    <row r="40" spans="1:18" ht="12.75">
      <c r="A40" s="16">
        <v>41085</v>
      </c>
      <c r="B40">
        <v>8.8</v>
      </c>
      <c r="D40" s="16">
        <v>41085</v>
      </c>
      <c r="E40">
        <v>8.53</v>
      </c>
      <c r="G40" s="16">
        <v>41085</v>
      </c>
      <c r="H40">
        <v>7.95</v>
      </c>
      <c r="J40" s="16">
        <v>41085</v>
      </c>
      <c r="K40">
        <v>8.22</v>
      </c>
      <c r="M40" s="16">
        <v>41085</v>
      </c>
      <c r="N40">
        <v>8.38</v>
      </c>
      <c r="P40" s="16">
        <v>41085</v>
      </c>
      <c r="Q40">
        <v>8.39</v>
      </c>
      <c r="R40">
        <f t="shared" si="0"/>
        <v>0</v>
      </c>
    </row>
    <row r="41" spans="1:18" ht="12.75">
      <c r="A41" s="16">
        <v>41086</v>
      </c>
      <c r="B41">
        <v>8.8</v>
      </c>
      <c r="D41" s="16">
        <v>41086</v>
      </c>
      <c r="E41">
        <v>8.54</v>
      </c>
      <c r="G41" s="16">
        <v>41086</v>
      </c>
      <c r="H41">
        <v>7.9399999999999995</v>
      </c>
      <c r="J41" s="16">
        <v>41086</v>
      </c>
      <c r="K41">
        <v>8.22</v>
      </c>
      <c r="M41" s="16">
        <v>41086</v>
      </c>
      <c r="N41">
        <v>8.35</v>
      </c>
      <c r="P41" s="16">
        <v>41086</v>
      </c>
      <c r="Q41">
        <v>8.39</v>
      </c>
      <c r="R41">
        <f t="shared" si="0"/>
        <v>0</v>
      </c>
    </row>
    <row r="42" spans="1:18" ht="12.75">
      <c r="A42" s="16">
        <v>41087</v>
      </c>
      <c r="B42">
        <v>8.831</v>
      </c>
      <c r="D42" s="16">
        <v>41087</v>
      </c>
      <c r="E42">
        <v>8.54</v>
      </c>
      <c r="G42" s="16">
        <v>41087</v>
      </c>
      <c r="H42">
        <v>7.9399999999999995</v>
      </c>
      <c r="J42" s="16">
        <v>41087</v>
      </c>
      <c r="K42">
        <v>8.23</v>
      </c>
      <c r="M42" s="16">
        <v>41087</v>
      </c>
      <c r="N42">
        <v>8.37</v>
      </c>
      <c r="P42" s="16">
        <v>41087</v>
      </c>
      <c r="Q42">
        <v>8.39</v>
      </c>
      <c r="R42">
        <f t="shared" si="0"/>
        <v>0</v>
      </c>
    </row>
    <row r="43" spans="1:18" ht="12.75">
      <c r="A43" s="16">
        <v>41088</v>
      </c>
      <c r="B43">
        <v>8.8</v>
      </c>
      <c r="D43" s="16">
        <v>41088</v>
      </c>
      <c r="E43">
        <v>8.5</v>
      </c>
      <c r="G43" s="16">
        <v>41088</v>
      </c>
      <c r="H43">
        <v>7.87</v>
      </c>
      <c r="J43" s="16">
        <v>41088</v>
      </c>
      <c r="K43">
        <v>8.18</v>
      </c>
      <c r="M43" s="16">
        <v>41088</v>
      </c>
      <c r="N43">
        <v>8.36</v>
      </c>
      <c r="P43" s="16">
        <v>41088</v>
      </c>
      <c r="Q43">
        <v>8.39</v>
      </c>
      <c r="R43">
        <f t="shared" si="0"/>
        <v>0</v>
      </c>
    </row>
    <row r="44" spans="1:18" ht="12.75">
      <c r="A44" s="16">
        <v>41089</v>
      </c>
      <c r="B44">
        <v>8.77</v>
      </c>
      <c r="D44" s="16">
        <v>41089</v>
      </c>
      <c r="E44">
        <v>8.49</v>
      </c>
      <c r="G44" s="16">
        <v>41089</v>
      </c>
      <c r="H44">
        <v>7.89</v>
      </c>
      <c r="J44" s="16">
        <v>41089</v>
      </c>
      <c r="K44">
        <v>8.18</v>
      </c>
      <c r="M44" s="16">
        <v>41089</v>
      </c>
      <c r="N44">
        <v>8.38</v>
      </c>
      <c r="P44" s="16">
        <v>41089</v>
      </c>
      <c r="Q44">
        <v>8.4</v>
      </c>
      <c r="R44">
        <f t="shared" si="0"/>
        <v>0</v>
      </c>
    </row>
    <row r="45" spans="1:18" ht="12.75">
      <c r="A45" s="16">
        <v>41092</v>
      </c>
      <c r="B45">
        <v>8.65</v>
      </c>
      <c r="D45" s="16">
        <v>41092</v>
      </c>
      <c r="E45">
        <v>8.39</v>
      </c>
      <c r="G45" s="16">
        <v>41092</v>
      </c>
      <c r="H45">
        <v>7.84</v>
      </c>
      <c r="J45" s="16">
        <v>41092</v>
      </c>
      <c r="K45">
        <v>8.12</v>
      </c>
      <c r="M45" s="16">
        <v>41092</v>
      </c>
      <c r="N45">
        <v>8.36</v>
      </c>
      <c r="P45" s="16">
        <v>41092</v>
      </c>
      <c r="Q45">
        <v>8.39</v>
      </c>
      <c r="R45">
        <f t="shared" si="0"/>
        <v>0</v>
      </c>
    </row>
    <row r="46" spans="1:18" ht="12.75">
      <c r="A46" s="16">
        <v>41093</v>
      </c>
      <c r="B46">
        <v>8.66</v>
      </c>
      <c r="D46" s="16">
        <v>41093</v>
      </c>
      <c r="E46">
        <v>8.38</v>
      </c>
      <c r="G46" s="16">
        <v>41093</v>
      </c>
      <c r="H46">
        <v>7.82</v>
      </c>
      <c r="J46" s="16">
        <v>41093</v>
      </c>
      <c r="K46">
        <v>8.08</v>
      </c>
      <c r="M46" s="16">
        <v>41093</v>
      </c>
      <c r="N46">
        <v>8.36</v>
      </c>
      <c r="P46" s="16">
        <v>41093</v>
      </c>
      <c r="Q46">
        <v>8.39</v>
      </c>
      <c r="R46">
        <f t="shared" si="0"/>
        <v>0</v>
      </c>
    </row>
    <row r="47" spans="1:18" ht="12.75">
      <c r="A47" s="16">
        <v>41094</v>
      </c>
      <c r="B47">
        <v>8.805</v>
      </c>
      <c r="D47" s="16">
        <v>41094</v>
      </c>
      <c r="E47">
        <v>8.5</v>
      </c>
      <c r="G47" s="16">
        <v>41094</v>
      </c>
      <c r="H47">
        <v>7.88</v>
      </c>
      <c r="J47" s="16">
        <v>41094</v>
      </c>
      <c r="K47">
        <v>8.16</v>
      </c>
      <c r="M47" s="16">
        <v>41094</v>
      </c>
      <c r="N47">
        <v>8.37</v>
      </c>
      <c r="P47" s="16">
        <v>41094</v>
      </c>
      <c r="Q47">
        <v>8.39</v>
      </c>
      <c r="R47">
        <f t="shared" si="0"/>
        <v>0</v>
      </c>
    </row>
    <row r="48" spans="1:18" ht="12.75">
      <c r="A48" s="16">
        <v>41095</v>
      </c>
      <c r="B48">
        <v>8.871</v>
      </c>
      <c r="D48" s="16">
        <v>41095</v>
      </c>
      <c r="E48">
        <v>8.58</v>
      </c>
      <c r="G48" s="16">
        <v>41095</v>
      </c>
      <c r="H48">
        <v>7.91</v>
      </c>
      <c r="J48" s="16">
        <v>41095</v>
      </c>
      <c r="K48">
        <v>8.23</v>
      </c>
      <c r="M48" s="16">
        <v>41095</v>
      </c>
      <c r="N48">
        <v>8.36</v>
      </c>
      <c r="P48" s="16">
        <v>41095</v>
      </c>
      <c r="Q48">
        <v>8.39</v>
      </c>
      <c r="R48">
        <f t="shared" si="0"/>
        <v>0</v>
      </c>
    </row>
    <row r="49" spans="1:18" ht="12.75">
      <c r="A49" s="16">
        <v>41096</v>
      </c>
      <c r="B49">
        <v>8.731</v>
      </c>
      <c r="D49" s="16">
        <v>41096</v>
      </c>
      <c r="E49">
        <v>8.43</v>
      </c>
      <c r="G49" s="16">
        <v>41096</v>
      </c>
      <c r="H49">
        <v>7.82</v>
      </c>
      <c r="J49" s="16">
        <v>41096</v>
      </c>
      <c r="K49">
        <v>8.12</v>
      </c>
      <c r="M49" s="16">
        <v>41096</v>
      </c>
      <c r="N49">
        <v>8.34</v>
      </c>
      <c r="P49" s="16">
        <v>41096</v>
      </c>
      <c r="Q49">
        <v>8.39</v>
      </c>
      <c r="R49">
        <f t="shared" si="0"/>
        <v>0</v>
      </c>
    </row>
    <row r="50" spans="1:18" ht="12.75">
      <c r="A50" s="16">
        <v>41100</v>
      </c>
      <c r="B50">
        <v>8.622</v>
      </c>
      <c r="D50" s="16">
        <v>41100</v>
      </c>
      <c r="E50">
        <v>8.33</v>
      </c>
      <c r="G50" s="16">
        <v>41100</v>
      </c>
      <c r="H50">
        <v>7.74</v>
      </c>
      <c r="J50" s="16">
        <v>41100</v>
      </c>
      <c r="K50">
        <v>8.04</v>
      </c>
      <c r="M50" s="16">
        <v>41099</v>
      </c>
      <c r="N50">
        <v>8.36</v>
      </c>
      <c r="P50" s="16">
        <v>41099</v>
      </c>
      <c r="Q50">
        <v>8.39</v>
      </c>
      <c r="R50">
        <f t="shared" si="0"/>
        <v>-1</v>
      </c>
    </row>
    <row r="51" spans="1:18" ht="12.75">
      <c r="A51" s="16">
        <v>41101</v>
      </c>
      <c r="B51">
        <v>8.48</v>
      </c>
      <c r="D51" s="16">
        <v>41101</v>
      </c>
      <c r="E51">
        <v>8.2</v>
      </c>
      <c r="G51" s="16">
        <v>41101</v>
      </c>
      <c r="H51">
        <v>7.64</v>
      </c>
      <c r="J51" s="16">
        <v>41101</v>
      </c>
      <c r="K51">
        <v>7.92</v>
      </c>
      <c r="M51" s="16">
        <v>41100</v>
      </c>
      <c r="N51">
        <v>8.32</v>
      </c>
      <c r="P51" s="16">
        <v>41100</v>
      </c>
      <c r="Q51">
        <v>8.39</v>
      </c>
      <c r="R51">
        <f t="shared" si="0"/>
        <v>-1</v>
      </c>
    </row>
    <row r="52" spans="1:18" ht="12.75">
      <c r="A52" s="16">
        <v>41102</v>
      </c>
      <c r="B52">
        <v>8.586</v>
      </c>
      <c r="D52" s="16">
        <v>41102</v>
      </c>
      <c r="E52">
        <v>8.29</v>
      </c>
      <c r="G52" s="16">
        <v>41102</v>
      </c>
      <c r="H52">
        <v>7.6899999999999995</v>
      </c>
      <c r="J52" s="16">
        <v>41102</v>
      </c>
      <c r="K52">
        <v>7.99</v>
      </c>
      <c r="M52" s="16">
        <v>41101</v>
      </c>
      <c r="N52">
        <v>8.3</v>
      </c>
      <c r="P52" s="16">
        <v>41101</v>
      </c>
      <c r="Q52">
        <v>8.39</v>
      </c>
      <c r="R52">
        <f t="shared" si="0"/>
        <v>-1</v>
      </c>
    </row>
    <row r="53" spans="1:18" ht="12.75">
      <c r="A53" s="16">
        <v>41103</v>
      </c>
      <c r="B53">
        <v>8.55</v>
      </c>
      <c r="D53" s="16">
        <v>41103</v>
      </c>
      <c r="E53">
        <v>8.26</v>
      </c>
      <c r="G53" s="16">
        <v>41103</v>
      </c>
      <c r="H53">
        <v>7.67</v>
      </c>
      <c r="J53" s="16">
        <v>41103</v>
      </c>
      <c r="K53">
        <v>7.97</v>
      </c>
      <c r="M53" s="16">
        <v>41102</v>
      </c>
      <c r="N53">
        <v>7.85</v>
      </c>
      <c r="P53" s="16">
        <v>41102</v>
      </c>
      <c r="Q53">
        <v>7.89</v>
      </c>
      <c r="R53">
        <f t="shared" si="0"/>
        <v>-1</v>
      </c>
    </row>
    <row r="54" spans="1:18" ht="12.75">
      <c r="A54" s="16">
        <v>41106</v>
      </c>
      <c r="B54">
        <v>8.51</v>
      </c>
      <c r="D54" s="16">
        <v>41106</v>
      </c>
      <c r="E54">
        <v>8.24</v>
      </c>
      <c r="G54" s="16">
        <v>41106</v>
      </c>
      <c r="H54">
        <v>7.66</v>
      </c>
      <c r="J54" s="16">
        <v>41106</v>
      </c>
      <c r="K54">
        <v>7.96</v>
      </c>
      <c r="M54" s="16">
        <v>41103</v>
      </c>
      <c r="N54">
        <v>7.83</v>
      </c>
      <c r="P54" s="16">
        <v>41103</v>
      </c>
      <c r="Q54">
        <v>7.89</v>
      </c>
      <c r="R54">
        <f t="shared" si="0"/>
        <v>-3</v>
      </c>
    </row>
    <row r="55" spans="1:18" ht="12.75">
      <c r="A55" s="16">
        <v>41107</v>
      </c>
      <c r="B55">
        <v>8.63</v>
      </c>
      <c r="D55" s="16">
        <v>41107</v>
      </c>
      <c r="E55">
        <v>8.35</v>
      </c>
      <c r="G55" s="16">
        <v>41107</v>
      </c>
      <c r="H55">
        <v>7.78</v>
      </c>
      <c r="J55" s="16">
        <v>41107</v>
      </c>
      <c r="K55">
        <v>8.06</v>
      </c>
      <c r="M55" s="16">
        <v>41106</v>
      </c>
      <c r="N55">
        <v>7.85</v>
      </c>
      <c r="P55" s="16">
        <v>41106</v>
      </c>
      <c r="Q55">
        <v>7.89</v>
      </c>
      <c r="R55">
        <f t="shared" si="0"/>
        <v>-1</v>
      </c>
    </row>
    <row r="56" spans="1:18" ht="12.75">
      <c r="A56" s="16">
        <v>41108</v>
      </c>
      <c r="B56">
        <v>8.58</v>
      </c>
      <c r="D56" s="16">
        <v>41108</v>
      </c>
      <c r="E56">
        <v>8.32</v>
      </c>
      <c r="G56" s="16">
        <v>41108</v>
      </c>
      <c r="H56">
        <v>7.76</v>
      </c>
      <c r="J56" s="16">
        <v>41108</v>
      </c>
      <c r="K56">
        <v>8.05</v>
      </c>
      <c r="M56" s="16">
        <v>41107</v>
      </c>
      <c r="N56">
        <v>7.82</v>
      </c>
      <c r="P56" s="16">
        <v>41107</v>
      </c>
      <c r="Q56">
        <v>7.89</v>
      </c>
      <c r="R56">
        <f t="shared" si="0"/>
        <v>-1</v>
      </c>
    </row>
    <row r="57" spans="1:18" ht="12.75">
      <c r="A57" s="16">
        <v>41109</v>
      </c>
      <c r="B57">
        <v>8.44</v>
      </c>
      <c r="D57" s="16">
        <v>41109</v>
      </c>
      <c r="E57">
        <v>8.19</v>
      </c>
      <c r="G57" s="16">
        <v>41109</v>
      </c>
      <c r="H57">
        <v>7.68</v>
      </c>
      <c r="J57" s="16">
        <v>41109</v>
      </c>
      <c r="K57">
        <v>7.96</v>
      </c>
      <c r="M57" s="16">
        <v>41108</v>
      </c>
      <c r="N57">
        <v>7.8</v>
      </c>
      <c r="P57" s="16">
        <v>41108</v>
      </c>
      <c r="Q57">
        <v>7.89</v>
      </c>
      <c r="R57">
        <f t="shared" si="0"/>
        <v>-1</v>
      </c>
    </row>
    <row r="58" spans="1:18" ht="12.75">
      <c r="A58" s="16">
        <v>41110</v>
      </c>
      <c r="B58">
        <v>8.42</v>
      </c>
      <c r="D58" s="16">
        <v>41110</v>
      </c>
      <c r="E58">
        <v>8.2</v>
      </c>
      <c r="G58" s="16">
        <v>41110</v>
      </c>
      <c r="H58">
        <v>7.75</v>
      </c>
      <c r="J58" s="16">
        <v>41110</v>
      </c>
      <c r="K58">
        <v>8</v>
      </c>
      <c r="M58" s="16">
        <v>41109</v>
      </c>
      <c r="N58">
        <v>7.83</v>
      </c>
      <c r="P58" s="16">
        <v>41109</v>
      </c>
      <c r="Q58">
        <v>7.89</v>
      </c>
      <c r="R58">
        <f t="shared" si="0"/>
        <v>-1</v>
      </c>
    </row>
    <row r="59" spans="1:18" ht="12.75">
      <c r="A59" s="16">
        <v>41113</v>
      </c>
      <c r="B59">
        <v>8.399000000000001</v>
      </c>
      <c r="D59" s="16">
        <v>41113</v>
      </c>
      <c r="E59">
        <v>8.17</v>
      </c>
      <c r="G59" s="16">
        <v>41113</v>
      </c>
      <c r="H59">
        <v>7.68</v>
      </c>
      <c r="J59" s="16">
        <v>41113</v>
      </c>
      <c r="K59">
        <v>7.96</v>
      </c>
      <c r="M59" s="16">
        <v>41110</v>
      </c>
      <c r="N59">
        <v>7.84</v>
      </c>
      <c r="P59" s="16">
        <v>41110</v>
      </c>
      <c r="Q59">
        <v>7.89</v>
      </c>
      <c r="R59">
        <f t="shared" si="0"/>
        <v>-3</v>
      </c>
    </row>
    <row r="60" spans="1:18" ht="12.75">
      <c r="A60" s="16">
        <v>41114</v>
      </c>
      <c r="B60">
        <v>8.5</v>
      </c>
      <c r="D60" s="16">
        <v>41114</v>
      </c>
      <c r="E60">
        <v>8.25</v>
      </c>
      <c r="G60" s="16">
        <v>41114</v>
      </c>
      <c r="H60">
        <v>7.73</v>
      </c>
      <c r="J60" s="16">
        <v>41114</v>
      </c>
      <c r="K60">
        <v>8.03</v>
      </c>
      <c r="M60" s="16">
        <v>41113</v>
      </c>
      <c r="N60">
        <v>7.84</v>
      </c>
      <c r="P60" s="16">
        <v>41113</v>
      </c>
      <c r="Q60">
        <v>7.89</v>
      </c>
      <c r="R60">
        <f t="shared" si="0"/>
        <v>-1</v>
      </c>
    </row>
    <row r="61" spans="1:18" ht="12.75">
      <c r="A61" s="16">
        <v>41115</v>
      </c>
      <c r="B61">
        <v>8.4</v>
      </c>
      <c r="D61" s="16">
        <v>41115</v>
      </c>
      <c r="E61">
        <v>8.18</v>
      </c>
      <c r="G61" s="16">
        <v>41115</v>
      </c>
      <c r="H61">
        <v>7.67</v>
      </c>
      <c r="J61" s="16">
        <v>41115</v>
      </c>
      <c r="K61">
        <v>7.97</v>
      </c>
      <c r="M61" s="16">
        <v>41114</v>
      </c>
      <c r="N61">
        <v>7.82</v>
      </c>
      <c r="P61" s="16">
        <v>41114</v>
      </c>
      <c r="Q61">
        <v>7.89</v>
      </c>
      <c r="R61">
        <f t="shared" si="0"/>
        <v>-1</v>
      </c>
    </row>
    <row r="62" spans="1:18" ht="12.75">
      <c r="A62" s="16">
        <v>41116</v>
      </c>
      <c r="B62">
        <v>8.479</v>
      </c>
      <c r="D62" s="16">
        <v>41116</v>
      </c>
      <c r="E62">
        <v>8.24</v>
      </c>
      <c r="G62" s="16">
        <v>41116</v>
      </c>
      <c r="H62">
        <v>7.74</v>
      </c>
      <c r="J62" s="16">
        <v>41116</v>
      </c>
      <c r="K62">
        <v>8.04</v>
      </c>
      <c r="M62" s="16">
        <v>41115</v>
      </c>
      <c r="N62">
        <v>7.84</v>
      </c>
      <c r="P62" s="16">
        <v>41115</v>
      </c>
      <c r="Q62">
        <v>7.89</v>
      </c>
      <c r="R62">
        <f t="shared" si="0"/>
        <v>-1</v>
      </c>
    </row>
    <row r="63" spans="1:18" ht="12.75">
      <c r="A63" s="16">
        <v>41117</v>
      </c>
      <c r="B63">
        <v>8.645</v>
      </c>
      <c r="D63" s="16">
        <v>41117</v>
      </c>
      <c r="E63">
        <v>8.4</v>
      </c>
      <c r="G63" s="16">
        <v>41117</v>
      </c>
      <c r="H63">
        <v>7.86</v>
      </c>
      <c r="J63" s="16">
        <v>41117</v>
      </c>
      <c r="K63">
        <v>8.19</v>
      </c>
      <c r="M63" s="16">
        <v>41116</v>
      </c>
      <c r="N63">
        <v>7.8100000000000005</v>
      </c>
      <c r="P63" s="16">
        <v>41116</v>
      </c>
      <c r="Q63">
        <v>7.89</v>
      </c>
      <c r="R63">
        <f t="shared" si="0"/>
        <v>-1</v>
      </c>
    </row>
    <row r="64" spans="1:18" ht="12.75">
      <c r="A64" s="16">
        <v>41120</v>
      </c>
      <c r="B64">
        <v>8.615</v>
      </c>
      <c r="D64" s="16">
        <v>41120</v>
      </c>
      <c r="E64">
        <v>8.39</v>
      </c>
      <c r="G64" s="16">
        <v>41120</v>
      </c>
      <c r="H64">
        <v>7.84</v>
      </c>
      <c r="J64" s="16">
        <v>41120</v>
      </c>
      <c r="K64">
        <v>8.16</v>
      </c>
      <c r="M64" s="16">
        <v>41117</v>
      </c>
      <c r="N64">
        <v>7.79</v>
      </c>
      <c r="P64" s="16">
        <v>41117</v>
      </c>
      <c r="Q64">
        <v>7.89</v>
      </c>
      <c r="R64">
        <f t="shared" si="0"/>
        <v>-3</v>
      </c>
    </row>
    <row r="65" spans="1:18" ht="12.75">
      <c r="A65" s="16">
        <v>41121</v>
      </c>
      <c r="B65">
        <v>8.6</v>
      </c>
      <c r="D65" s="16">
        <v>41121</v>
      </c>
      <c r="E65">
        <v>8.36</v>
      </c>
      <c r="G65" s="16">
        <v>41121</v>
      </c>
      <c r="H65">
        <v>7.85</v>
      </c>
      <c r="J65" s="16">
        <v>41121</v>
      </c>
      <c r="K65">
        <v>8.17</v>
      </c>
      <c r="M65" s="16">
        <v>41120</v>
      </c>
      <c r="N65">
        <v>7.83</v>
      </c>
      <c r="P65" s="16">
        <v>41120</v>
      </c>
      <c r="Q65">
        <v>7.89</v>
      </c>
      <c r="R65">
        <f t="shared" si="0"/>
        <v>-1</v>
      </c>
    </row>
    <row r="66" spans="1:18" ht="12.75">
      <c r="A66" s="16">
        <v>41122</v>
      </c>
      <c r="B66">
        <v>8.48</v>
      </c>
      <c r="D66" s="16">
        <v>41122</v>
      </c>
      <c r="E66">
        <v>8.26</v>
      </c>
      <c r="G66" s="16">
        <v>41122</v>
      </c>
      <c r="H66">
        <v>7.76</v>
      </c>
      <c r="J66" s="16">
        <v>41122</v>
      </c>
      <c r="K66">
        <v>8.07</v>
      </c>
      <c r="M66" s="16">
        <v>41121</v>
      </c>
      <c r="N66">
        <v>7.83</v>
      </c>
      <c r="P66" s="16">
        <v>41121</v>
      </c>
      <c r="Q66">
        <v>7.89</v>
      </c>
      <c r="R66">
        <f t="shared" si="0"/>
        <v>-1</v>
      </c>
    </row>
    <row r="67" spans="1:18" ht="12.75">
      <c r="A67" s="16">
        <v>41123</v>
      </c>
      <c r="B67">
        <v>8.45</v>
      </c>
      <c r="D67" s="16">
        <v>41123</v>
      </c>
      <c r="E67">
        <v>8.22</v>
      </c>
      <c r="G67" s="16">
        <v>41123</v>
      </c>
      <c r="H67">
        <v>7.72</v>
      </c>
      <c r="J67" s="16">
        <v>41123</v>
      </c>
      <c r="K67">
        <v>8.03</v>
      </c>
      <c r="M67" s="16">
        <v>41122</v>
      </c>
      <c r="N67">
        <v>7.83</v>
      </c>
      <c r="P67" s="16">
        <v>41122</v>
      </c>
      <c r="Q67">
        <v>7.89</v>
      </c>
      <c r="R67">
        <f t="shared" si="0"/>
        <v>-1</v>
      </c>
    </row>
    <row r="68" spans="1:18" ht="12.75">
      <c r="A68" s="16">
        <v>41124</v>
      </c>
      <c r="B68">
        <v>8.515</v>
      </c>
      <c r="D68" s="16">
        <v>41124</v>
      </c>
      <c r="E68">
        <v>8.28</v>
      </c>
      <c r="G68" s="16">
        <v>41124</v>
      </c>
      <c r="H68">
        <v>7.78</v>
      </c>
      <c r="J68" s="16">
        <v>41124</v>
      </c>
      <c r="K68">
        <v>8.08</v>
      </c>
      <c r="M68" s="16">
        <v>41123</v>
      </c>
      <c r="N68">
        <v>7.82</v>
      </c>
      <c r="P68" s="16">
        <v>41123</v>
      </c>
      <c r="Q68">
        <v>7.89</v>
      </c>
      <c r="R68">
        <f aca="true" t="shared" si="1" ref="R68:R131">M68-J68</f>
        <v>-1</v>
      </c>
    </row>
    <row r="69" spans="1:18" ht="12.75">
      <c r="A69" s="16">
        <v>41127</v>
      </c>
      <c r="B69">
        <v>8.55</v>
      </c>
      <c r="D69" s="16">
        <v>41127</v>
      </c>
      <c r="E69">
        <v>8.31</v>
      </c>
      <c r="G69" s="16">
        <v>41127</v>
      </c>
      <c r="H69">
        <v>7.79</v>
      </c>
      <c r="J69" s="16">
        <v>41127</v>
      </c>
      <c r="K69">
        <v>8.1</v>
      </c>
      <c r="M69" s="16">
        <v>41124</v>
      </c>
      <c r="N69">
        <v>7.83</v>
      </c>
      <c r="P69" s="16">
        <v>41124</v>
      </c>
      <c r="Q69">
        <v>7.89</v>
      </c>
      <c r="R69">
        <f t="shared" si="1"/>
        <v>-3</v>
      </c>
    </row>
    <row r="70" spans="1:18" ht="12.75">
      <c r="A70" s="16">
        <v>41128</v>
      </c>
      <c r="B70">
        <v>8.49</v>
      </c>
      <c r="D70" s="16">
        <v>41128</v>
      </c>
      <c r="E70">
        <v>8.28</v>
      </c>
      <c r="G70" s="16">
        <v>41128</v>
      </c>
      <c r="H70">
        <v>7.77</v>
      </c>
      <c r="J70" s="16">
        <v>41128</v>
      </c>
      <c r="K70">
        <v>8.07</v>
      </c>
      <c r="M70" s="16">
        <v>41127</v>
      </c>
      <c r="N70">
        <v>7.82</v>
      </c>
      <c r="P70" s="16">
        <v>41127</v>
      </c>
      <c r="Q70">
        <v>7.89</v>
      </c>
      <c r="R70">
        <f t="shared" si="1"/>
        <v>-1</v>
      </c>
    </row>
    <row r="71" spans="1:18" ht="12.75">
      <c r="A71" s="16">
        <v>41129</v>
      </c>
      <c r="B71">
        <v>8.52</v>
      </c>
      <c r="D71" s="16">
        <v>41129</v>
      </c>
      <c r="E71">
        <v>8.28</v>
      </c>
      <c r="G71" s="16">
        <v>41129</v>
      </c>
      <c r="H71">
        <v>7.76</v>
      </c>
      <c r="J71" s="16">
        <v>41129</v>
      </c>
      <c r="K71">
        <v>8.09</v>
      </c>
      <c r="M71" s="16">
        <v>41128</v>
      </c>
      <c r="N71">
        <v>7.82</v>
      </c>
      <c r="P71" s="16">
        <v>41128</v>
      </c>
      <c r="Q71">
        <v>7.89</v>
      </c>
      <c r="R71">
        <f t="shared" si="1"/>
        <v>-1</v>
      </c>
    </row>
    <row r="72" spans="1:18" ht="12.75">
      <c r="A72" s="16">
        <v>41130</v>
      </c>
      <c r="B72">
        <v>8.6</v>
      </c>
      <c r="D72" s="16">
        <v>41130</v>
      </c>
      <c r="E72">
        <v>8.33</v>
      </c>
      <c r="G72" s="16">
        <v>41130</v>
      </c>
      <c r="H72">
        <v>7.77</v>
      </c>
      <c r="J72" s="16">
        <v>41130</v>
      </c>
      <c r="K72">
        <v>8.1</v>
      </c>
      <c r="M72" s="16">
        <v>41129</v>
      </c>
      <c r="N72">
        <v>7.82</v>
      </c>
      <c r="P72" s="16">
        <v>41129</v>
      </c>
      <c r="Q72">
        <v>7.89</v>
      </c>
      <c r="R72">
        <f t="shared" si="1"/>
        <v>-1</v>
      </c>
    </row>
    <row r="73" spans="1:18" ht="12.75">
      <c r="A73" s="16">
        <v>41131</v>
      </c>
      <c r="B73">
        <v>8.7</v>
      </c>
      <c r="D73" s="16">
        <v>41131</v>
      </c>
      <c r="E73">
        <v>8.41</v>
      </c>
      <c r="G73" s="16">
        <v>41131</v>
      </c>
      <c r="H73">
        <v>7.82</v>
      </c>
      <c r="J73" s="16">
        <v>41131</v>
      </c>
      <c r="K73">
        <v>8.19</v>
      </c>
      <c r="M73" s="16">
        <v>41130</v>
      </c>
      <c r="N73">
        <v>7.82</v>
      </c>
      <c r="P73" s="16">
        <v>41130</v>
      </c>
      <c r="Q73">
        <v>7.89</v>
      </c>
      <c r="R73">
        <f t="shared" si="1"/>
        <v>-1</v>
      </c>
    </row>
    <row r="74" spans="1:18" ht="12.75">
      <c r="A74" s="16">
        <v>41134</v>
      </c>
      <c r="B74">
        <v>8.63</v>
      </c>
      <c r="D74" s="16">
        <v>41134</v>
      </c>
      <c r="E74">
        <v>8.34</v>
      </c>
      <c r="G74" s="16">
        <v>41134</v>
      </c>
      <c r="H74">
        <v>7.75</v>
      </c>
      <c r="J74" s="16">
        <v>41134</v>
      </c>
      <c r="K74">
        <v>8.11</v>
      </c>
      <c r="M74" s="16">
        <v>41131</v>
      </c>
      <c r="N74">
        <v>7.82</v>
      </c>
      <c r="P74" s="16">
        <v>41131</v>
      </c>
      <c r="Q74">
        <v>7.89</v>
      </c>
      <c r="R74">
        <f t="shared" si="1"/>
        <v>-3</v>
      </c>
    </row>
    <row r="75" spans="1:18" ht="12.75">
      <c r="A75" s="16">
        <v>41135</v>
      </c>
      <c r="B75">
        <v>8.64</v>
      </c>
      <c r="D75" s="16">
        <v>41135</v>
      </c>
      <c r="E75">
        <v>8.37</v>
      </c>
      <c r="G75" s="16">
        <v>41135</v>
      </c>
      <c r="H75">
        <v>7.75</v>
      </c>
      <c r="J75" s="16">
        <v>41135</v>
      </c>
      <c r="K75">
        <v>8.13</v>
      </c>
      <c r="M75" s="16">
        <v>41134</v>
      </c>
      <c r="N75">
        <v>7.8</v>
      </c>
      <c r="P75" s="16">
        <v>41134</v>
      </c>
      <c r="Q75">
        <v>7.89</v>
      </c>
      <c r="R75">
        <f t="shared" si="1"/>
        <v>-1</v>
      </c>
    </row>
    <row r="76" spans="1:18" ht="12.75">
      <c r="A76" s="16">
        <v>41136</v>
      </c>
      <c r="B76">
        <v>8.58</v>
      </c>
      <c r="D76" s="16">
        <v>41136</v>
      </c>
      <c r="E76">
        <v>8.33</v>
      </c>
      <c r="G76" s="16">
        <v>41136</v>
      </c>
      <c r="H76">
        <v>7.75</v>
      </c>
      <c r="J76" s="16">
        <v>41136</v>
      </c>
      <c r="K76">
        <v>8.11</v>
      </c>
      <c r="M76" s="16">
        <v>41135</v>
      </c>
      <c r="N76">
        <v>7.83</v>
      </c>
      <c r="P76" s="16">
        <v>41135</v>
      </c>
      <c r="Q76">
        <v>7.89</v>
      </c>
      <c r="R76">
        <f t="shared" si="1"/>
        <v>-1</v>
      </c>
    </row>
    <row r="77" spans="1:18" ht="12.75">
      <c r="A77" s="16">
        <v>41137</v>
      </c>
      <c r="B77">
        <v>8.72</v>
      </c>
      <c r="D77" s="16">
        <v>41137</v>
      </c>
      <c r="E77">
        <v>8.47</v>
      </c>
      <c r="G77" s="16">
        <v>41137</v>
      </c>
      <c r="H77">
        <v>7.87</v>
      </c>
      <c r="J77" s="16">
        <v>41137</v>
      </c>
      <c r="K77">
        <v>8.25</v>
      </c>
      <c r="M77" s="16">
        <v>41136</v>
      </c>
      <c r="N77">
        <v>7.83</v>
      </c>
      <c r="P77" s="16">
        <v>41136</v>
      </c>
      <c r="Q77">
        <v>7.89</v>
      </c>
      <c r="R77">
        <f t="shared" si="1"/>
        <v>-1</v>
      </c>
    </row>
    <row r="78" spans="1:18" ht="12.75">
      <c r="A78" s="16">
        <v>41138</v>
      </c>
      <c r="B78">
        <v>8.711</v>
      </c>
      <c r="D78" s="16">
        <v>41138</v>
      </c>
      <c r="E78">
        <v>8.46</v>
      </c>
      <c r="G78" s="16">
        <v>41138</v>
      </c>
      <c r="H78">
        <v>7.86</v>
      </c>
      <c r="J78" s="16">
        <v>41138</v>
      </c>
      <c r="K78">
        <v>8.24</v>
      </c>
      <c r="M78" s="16">
        <v>41137</v>
      </c>
      <c r="N78">
        <v>7.82</v>
      </c>
      <c r="P78" s="16">
        <v>41137</v>
      </c>
      <c r="Q78">
        <v>7.89</v>
      </c>
      <c r="R78">
        <f t="shared" si="1"/>
        <v>-1</v>
      </c>
    </row>
    <row r="79" spans="1:18" ht="12.75">
      <c r="A79" s="16">
        <v>41141</v>
      </c>
      <c r="B79">
        <v>8.8</v>
      </c>
      <c r="D79" s="16">
        <v>41141</v>
      </c>
      <c r="E79">
        <v>8.56</v>
      </c>
      <c r="G79" s="16">
        <v>41141</v>
      </c>
      <c r="H79">
        <v>7.92</v>
      </c>
      <c r="J79" s="16">
        <v>41141</v>
      </c>
      <c r="K79">
        <v>8.31</v>
      </c>
      <c r="M79" s="16">
        <v>41138</v>
      </c>
      <c r="N79">
        <v>7.84</v>
      </c>
      <c r="P79" s="16">
        <v>41138</v>
      </c>
      <c r="Q79">
        <v>7.89</v>
      </c>
      <c r="R79">
        <f t="shared" si="1"/>
        <v>-3</v>
      </c>
    </row>
    <row r="80" spans="1:18" ht="12.75">
      <c r="A80" s="16">
        <v>41142</v>
      </c>
      <c r="B80">
        <v>8.8</v>
      </c>
      <c r="D80" s="16">
        <v>41142</v>
      </c>
      <c r="E80">
        <v>8.54</v>
      </c>
      <c r="G80" s="16">
        <v>41142</v>
      </c>
      <c r="H80">
        <v>7.89</v>
      </c>
      <c r="J80" s="16">
        <v>41142</v>
      </c>
      <c r="K80">
        <v>8.28</v>
      </c>
      <c r="M80" s="16">
        <v>41141</v>
      </c>
      <c r="N80">
        <v>7.85</v>
      </c>
      <c r="P80" s="16">
        <v>41141</v>
      </c>
      <c r="Q80">
        <v>7.89</v>
      </c>
      <c r="R80">
        <f t="shared" si="1"/>
        <v>-1</v>
      </c>
    </row>
    <row r="81" spans="1:18" ht="12.75">
      <c r="A81" s="16">
        <v>41143</v>
      </c>
      <c r="B81">
        <v>8.85</v>
      </c>
      <c r="D81" s="16">
        <v>41143</v>
      </c>
      <c r="E81">
        <v>8.6</v>
      </c>
      <c r="G81" s="16">
        <v>41143</v>
      </c>
      <c r="H81">
        <v>7.93</v>
      </c>
      <c r="J81" s="16">
        <v>41143</v>
      </c>
      <c r="K81">
        <v>8.32</v>
      </c>
      <c r="M81" s="16">
        <v>41142</v>
      </c>
      <c r="N81">
        <v>7.82</v>
      </c>
      <c r="P81" s="16">
        <v>41142</v>
      </c>
      <c r="Q81">
        <v>7.89</v>
      </c>
      <c r="R81">
        <f t="shared" si="1"/>
        <v>-1</v>
      </c>
    </row>
    <row r="82" spans="1:18" ht="12.75">
      <c r="A82" s="16">
        <v>41144</v>
      </c>
      <c r="B82">
        <v>8.886</v>
      </c>
      <c r="D82" s="16">
        <v>41144</v>
      </c>
      <c r="E82">
        <v>8.65</v>
      </c>
      <c r="G82" s="16">
        <v>41144</v>
      </c>
      <c r="H82">
        <v>7.96</v>
      </c>
      <c r="J82" s="16">
        <v>41144</v>
      </c>
      <c r="K82">
        <v>8.37</v>
      </c>
      <c r="M82" s="16">
        <v>41143</v>
      </c>
      <c r="N82">
        <v>7.8100000000000005</v>
      </c>
      <c r="P82" s="16">
        <v>41143</v>
      </c>
      <c r="Q82">
        <v>7.89</v>
      </c>
      <c r="R82">
        <f t="shared" si="1"/>
        <v>-1</v>
      </c>
    </row>
    <row r="83" spans="1:18" ht="12.75">
      <c r="A83" s="16">
        <v>41145</v>
      </c>
      <c r="B83">
        <v>8.81</v>
      </c>
      <c r="D83" s="16">
        <v>41145</v>
      </c>
      <c r="E83">
        <v>8.6</v>
      </c>
      <c r="G83" s="16">
        <v>41145</v>
      </c>
      <c r="H83">
        <v>7.96</v>
      </c>
      <c r="J83" s="16">
        <v>41145</v>
      </c>
      <c r="K83">
        <v>8.34</v>
      </c>
      <c r="M83" s="16">
        <v>41144</v>
      </c>
      <c r="N83">
        <v>7.8100000000000005</v>
      </c>
      <c r="P83" s="16">
        <v>41144</v>
      </c>
      <c r="Q83">
        <v>7.89</v>
      </c>
      <c r="R83">
        <f t="shared" si="1"/>
        <v>-1</v>
      </c>
    </row>
    <row r="84" spans="1:18" ht="12.75">
      <c r="A84" s="16">
        <v>41148</v>
      </c>
      <c r="B84">
        <v>8.74</v>
      </c>
      <c r="D84" s="16">
        <v>41148</v>
      </c>
      <c r="E84">
        <v>8.52</v>
      </c>
      <c r="G84" s="16">
        <v>41148</v>
      </c>
      <c r="H84">
        <v>7.89</v>
      </c>
      <c r="J84" s="16">
        <v>41148</v>
      </c>
      <c r="K84">
        <v>8.26</v>
      </c>
      <c r="M84" s="16">
        <v>41145</v>
      </c>
      <c r="N84">
        <v>7.82</v>
      </c>
      <c r="P84" s="16">
        <v>41145</v>
      </c>
      <c r="Q84">
        <v>7.89</v>
      </c>
      <c r="R84">
        <f t="shared" si="1"/>
        <v>-3</v>
      </c>
    </row>
    <row r="85" spans="1:18" ht="12.75">
      <c r="A85" s="16">
        <v>41149</v>
      </c>
      <c r="B85">
        <v>8.68</v>
      </c>
      <c r="D85" s="16">
        <v>41149</v>
      </c>
      <c r="E85">
        <v>8.45</v>
      </c>
      <c r="G85" s="16">
        <v>41149</v>
      </c>
      <c r="H85">
        <v>7.82</v>
      </c>
      <c r="J85" s="16">
        <v>41149</v>
      </c>
      <c r="K85">
        <v>8.18</v>
      </c>
      <c r="M85" s="16">
        <v>41148</v>
      </c>
      <c r="N85">
        <v>7.83</v>
      </c>
      <c r="P85" s="16">
        <v>41148</v>
      </c>
      <c r="Q85">
        <v>7.89</v>
      </c>
      <c r="R85">
        <f t="shared" si="1"/>
        <v>-1</v>
      </c>
    </row>
    <row r="86" spans="1:18" ht="12.75">
      <c r="A86" s="16">
        <v>41150</v>
      </c>
      <c r="B86">
        <v>8.64</v>
      </c>
      <c r="D86" s="16">
        <v>41150</v>
      </c>
      <c r="E86">
        <v>8.4</v>
      </c>
      <c r="G86" s="16">
        <v>41150</v>
      </c>
      <c r="H86">
        <v>7.75</v>
      </c>
      <c r="J86" s="16">
        <v>41150</v>
      </c>
      <c r="K86">
        <v>8.13</v>
      </c>
      <c r="M86" s="16">
        <v>41149</v>
      </c>
      <c r="N86">
        <v>7.83</v>
      </c>
      <c r="P86" s="16">
        <v>41149</v>
      </c>
      <c r="Q86">
        <v>7.89</v>
      </c>
      <c r="R86">
        <f t="shared" si="1"/>
        <v>-1</v>
      </c>
    </row>
    <row r="87" spans="1:18" ht="12.75">
      <c r="A87" s="16">
        <v>41151</v>
      </c>
      <c r="B87">
        <v>8.65</v>
      </c>
      <c r="D87" s="16">
        <v>41151</v>
      </c>
      <c r="E87">
        <v>8.45</v>
      </c>
      <c r="G87" s="16">
        <v>41151</v>
      </c>
      <c r="H87">
        <v>7.83</v>
      </c>
      <c r="J87" s="16">
        <v>41151</v>
      </c>
      <c r="K87">
        <v>8.2</v>
      </c>
      <c r="M87" s="16">
        <v>41150</v>
      </c>
      <c r="N87">
        <v>7.82</v>
      </c>
      <c r="P87" s="16">
        <v>41150</v>
      </c>
      <c r="Q87">
        <v>7.89</v>
      </c>
      <c r="R87">
        <f t="shared" si="1"/>
        <v>-1</v>
      </c>
    </row>
    <row r="88" spans="1:18" ht="12.75">
      <c r="A88" s="16">
        <v>41152</v>
      </c>
      <c r="B88">
        <v>8.6</v>
      </c>
      <c r="D88" s="16">
        <v>41152</v>
      </c>
      <c r="E88">
        <v>8.44</v>
      </c>
      <c r="G88" s="16">
        <v>41152</v>
      </c>
      <c r="H88">
        <v>7.82</v>
      </c>
      <c r="J88" s="16">
        <v>41152</v>
      </c>
      <c r="K88">
        <v>8.19</v>
      </c>
      <c r="M88" s="16">
        <v>41151</v>
      </c>
      <c r="N88">
        <v>7.38</v>
      </c>
      <c r="P88" s="16">
        <v>41151</v>
      </c>
      <c r="Q88">
        <v>7.39</v>
      </c>
      <c r="R88">
        <f t="shared" si="1"/>
        <v>-1</v>
      </c>
    </row>
    <row r="89" spans="1:18" ht="12.75">
      <c r="A89" s="16">
        <v>41155</v>
      </c>
      <c r="B89">
        <v>8.54</v>
      </c>
      <c r="D89" s="16">
        <v>41155</v>
      </c>
      <c r="E89">
        <v>8.37</v>
      </c>
      <c r="G89" s="16">
        <v>41155</v>
      </c>
      <c r="H89">
        <v>7.75</v>
      </c>
      <c r="J89" s="16">
        <v>41155</v>
      </c>
      <c r="K89">
        <v>8.11</v>
      </c>
      <c r="M89" s="16">
        <v>41152</v>
      </c>
      <c r="N89">
        <v>7.38</v>
      </c>
      <c r="P89" s="16">
        <v>41152</v>
      </c>
      <c r="Q89">
        <v>7.39</v>
      </c>
      <c r="R89">
        <f t="shared" si="1"/>
        <v>-3</v>
      </c>
    </row>
    <row r="90" spans="1:18" ht="12.75">
      <c r="A90" s="16">
        <v>41156</v>
      </c>
      <c r="B90">
        <v>8.58</v>
      </c>
      <c r="D90" s="16">
        <v>41156</v>
      </c>
      <c r="E90">
        <v>8.39</v>
      </c>
      <c r="G90" s="16">
        <v>41156</v>
      </c>
      <c r="H90">
        <v>7.78</v>
      </c>
      <c r="J90" s="16">
        <v>41156</v>
      </c>
      <c r="K90">
        <v>8.15</v>
      </c>
      <c r="M90" s="16">
        <v>41155</v>
      </c>
      <c r="N90">
        <v>7.41</v>
      </c>
      <c r="P90" s="16">
        <v>41155</v>
      </c>
      <c r="Q90">
        <v>7.39</v>
      </c>
      <c r="R90">
        <f t="shared" si="1"/>
        <v>-1</v>
      </c>
    </row>
    <row r="91" spans="1:18" ht="12.75">
      <c r="A91" s="16">
        <v>41157</v>
      </c>
      <c r="B91">
        <v>8.57</v>
      </c>
      <c r="D91" s="16">
        <v>41157</v>
      </c>
      <c r="E91">
        <v>8.38</v>
      </c>
      <c r="G91" s="16">
        <v>41157</v>
      </c>
      <c r="H91">
        <v>7.79</v>
      </c>
      <c r="J91" s="16">
        <v>41157</v>
      </c>
      <c r="K91">
        <v>8.16</v>
      </c>
      <c r="M91" s="16">
        <v>41156</v>
      </c>
      <c r="N91">
        <v>7.39</v>
      </c>
      <c r="P91" s="16">
        <v>41156</v>
      </c>
      <c r="Q91">
        <v>7.39</v>
      </c>
      <c r="R91">
        <f t="shared" si="1"/>
        <v>-1</v>
      </c>
    </row>
    <row r="92" spans="1:18" ht="12.75">
      <c r="A92" s="16">
        <v>41158</v>
      </c>
      <c r="B92">
        <v>8.64</v>
      </c>
      <c r="D92" s="16">
        <v>41158</v>
      </c>
      <c r="E92">
        <v>8.44</v>
      </c>
      <c r="G92" s="16">
        <v>41158</v>
      </c>
      <c r="H92">
        <v>7.82</v>
      </c>
      <c r="J92" s="16">
        <v>41158</v>
      </c>
      <c r="K92">
        <v>8.19</v>
      </c>
      <c r="M92" s="16">
        <v>41157</v>
      </c>
      <c r="N92">
        <v>7.39</v>
      </c>
      <c r="P92" s="16">
        <v>41157</v>
      </c>
      <c r="Q92">
        <v>7.39</v>
      </c>
      <c r="R92">
        <f t="shared" si="1"/>
        <v>-1</v>
      </c>
    </row>
    <row r="93" spans="1:18" ht="12.75">
      <c r="A93" s="16">
        <v>41162</v>
      </c>
      <c r="B93">
        <v>8.68</v>
      </c>
      <c r="D93" s="16">
        <v>41162</v>
      </c>
      <c r="E93">
        <v>8.48</v>
      </c>
      <c r="G93" s="16">
        <v>41162</v>
      </c>
      <c r="H93">
        <v>7.8100000000000005</v>
      </c>
      <c r="J93" s="16">
        <v>41162</v>
      </c>
      <c r="K93">
        <v>8.23</v>
      </c>
      <c r="M93" s="16">
        <v>41158</v>
      </c>
      <c r="N93">
        <v>7.39</v>
      </c>
      <c r="P93" s="16">
        <v>41158</v>
      </c>
      <c r="Q93">
        <v>7.39</v>
      </c>
      <c r="R93">
        <f t="shared" si="1"/>
        <v>-4</v>
      </c>
    </row>
    <row r="94" spans="1:18" ht="12.75">
      <c r="A94" s="16">
        <v>41163</v>
      </c>
      <c r="B94">
        <v>8.65</v>
      </c>
      <c r="D94" s="16">
        <v>41163</v>
      </c>
      <c r="E94">
        <v>8.46</v>
      </c>
      <c r="G94" s="16">
        <v>41163</v>
      </c>
      <c r="H94">
        <v>7.79</v>
      </c>
      <c r="J94" s="16">
        <v>41163</v>
      </c>
      <c r="K94">
        <v>8.18</v>
      </c>
      <c r="M94" s="16">
        <v>41162</v>
      </c>
      <c r="N94">
        <v>7.38</v>
      </c>
      <c r="P94" s="16">
        <v>41162</v>
      </c>
      <c r="Q94">
        <v>7.39</v>
      </c>
      <c r="R94">
        <f t="shared" si="1"/>
        <v>-1</v>
      </c>
    </row>
    <row r="95" spans="1:18" ht="12.75">
      <c r="A95" s="16">
        <v>41164</v>
      </c>
      <c r="B95">
        <v>8.65</v>
      </c>
      <c r="D95" s="16">
        <v>41164</v>
      </c>
      <c r="E95">
        <v>8.45</v>
      </c>
      <c r="G95" s="16">
        <v>41164</v>
      </c>
      <c r="H95">
        <v>7.78</v>
      </c>
      <c r="J95" s="16">
        <v>41164</v>
      </c>
      <c r="K95">
        <v>8.15</v>
      </c>
      <c r="M95" s="16">
        <v>41163</v>
      </c>
      <c r="N95">
        <v>7.37</v>
      </c>
      <c r="P95" s="16">
        <v>41163</v>
      </c>
      <c r="Q95">
        <v>7.39</v>
      </c>
      <c r="R95">
        <f t="shared" si="1"/>
        <v>-1</v>
      </c>
    </row>
    <row r="96" spans="1:18" ht="12.75">
      <c r="A96" s="16">
        <v>41165</v>
      </c>
      <c r="B96">
        <v>8.72</v>
      </c>
      <c r="D96" s="16">
        <v>41165</v>
      </c>
      <c r="E96">
        <v>8.48</v>
      </c>
      <c r="G96" s="16">
        <v>41165</v>
      </c>
      <c r="H96">
        <v>7.77</v>
      </c>
      <c r="J96" s="16">
        <v>41165</v>
      </c>
      <c r="K96">
        <v>8.15</v>
      </c>
      <c r="M96" s="16">
        <v>41164</v>
      </c>
      <c r="N96">
        <v>7.36</v>
      </c>
      <c r="P96" s="16">
        <v>41164</v>
      </c>
      <c r="Q96">
        <v>7.39</v>
      </c>
      <c r="R96">
        <f t="shared" si="1"/>
        <v>-1</v>
      </c>
    </row>
    <row r="97" spans="1:18" ht="12.75">
      <c r="A97" s="16">
        <v>41166</v>
      </c>
      <c r="B97">
        <v>8.71</v>
      </c>
      <c r="D97" s="16">
        <v>41166</v>
      </c>
      <c r="E97">
        <v>8.47</v>
      </c>
      <c r="G97" s="16">
        <v>41166</v>
      </c>
      <c r="H97">
        <v>7.78</v>
      </c>
      <c r="J97" s="16">
        <v>41166</v>
      </c>
      <c r="K97">
        <v>8.16</v>
      </c>
      <c r="M97" s="16">
        <v>41165</v>
      </c>
      <c r="N97">
        <v>7.36</v>
      </c>
      <c r="P97" s="16">
        <v>41165</v>
      </c>
      <c r="Q97">
        <v>7.39</v>
      </c>
      <c r="R97">
        <f t="shared" si="1"/>
        <v>-1</v>
      </c>
    </row>
    <row r="98" spans="1:18" ht="12.75">
      <c r="A98" s="16">
        <v>41169</v>
      </c>
      <c r="B98">
        <v>8.68</v>
      </c>
      <c r="D98" s="16">
        <v>41169</v>
      </c>
      <c r="E98">
        <v>8.46</v>
      </c>
      <c r="G98" s="16">
        <v>41169</v>
      </c>
      <c r="H98">
        <v>7.79</v>
      </c>
      <c r="J98" s="16">
        <v>41169</v>
      </c>
      <c r="K98">
        <v>8.16</v>
      </c>
      <c r="M98" s="16">
        <v>41166</v>
      </c>
      <c r="N98">
        <v>7.35</v>
      </c>
      <c r="P98" s="16">
        <v>41166</v>
      </c>
      <c r="Q98">
        <v>7.39</v>
      </c>
      <c r="R98">
        <f t="shared" si="1"/>
        <v>-3</v>
      </c>
    </row>
    <row r="99" spans="1:18" ht="12.75">
      <c r="A99" s="16">
        <v>41170</v>
      </c>
      <c r="B99">
        <v>8.71</v>
      </c>
      <c r="D99" s="16">
        <v>41170</v>
      </c>
      <c r="E99">
        <v>8.49</v>
      </c>
      <c r="G99" s="16">
        <v>41170</v>
      </c>
      <c r="H99">
        <v>7.82</v>
      </c>
      <c r="J99" s="16">
        <v>41170</v>
      </c>
      <c r="K99">
        <v>8.19</v>
      </c>
      <c r="M99" s="16">
        <v>41169</v>
      </c>
      <c r="N99">
        <v>7.34</v>
      </c>
      <c r="P99" s="16">
        <v>41169</v>
      </c>
      <c r="Q99">
        <v>7.39</v>
      </c>
      <c r="R99">
        <f t="shared" si="1"/>
        <v>-1</v>
      </c>
    </row>
    <row r="100" spans="1:18" ht="12.75">
      <c r="A100" s="16">
        <v>41171</v>
      </c>
      <c r="B100">
        <v>8.71</v>
      </c>
      <c r="D100" s="16">
        <v>41171</v>
      </c>
      <c r="E100">
        <v>8.5</v>
      </c>
      <c r="G100" s="16">
        <v>41171</v>
      </c>
      <c r="H100">
        <v>7.84</v>
      </c>
      <c r="J100" s="16">
        <v>41171</v>
      </c>
      <c r="K100">
        <v>8.2</v>
      </c>
      <c r="M100" s="16">
        <v>41170</v>
      </c>
      <c r="N100">
        <v>7.33</v>
      </c>
      <c r="P100" s="16">
        <v>41170</v>
      </c>
      <c r="Q100">
        <v>7.39</v>
      </c>
      <c r="R100">
        <f t="shared" si="1"/>
        <v>-1</v>
      </c>
    </row>
    <row r="101" spans="1:18" ht="12.75">
      <c r="A101" s="16">
        <v>41172</v>
      </c>
      <c r="B101">
        <v>8.7</v>
      </c>
      <c r="D101" s="16">
        <v>41172</v>
      </c>
      <c r="E101">
        <v>8.45</v>
      </c>
      <c r="G101" s="16">
        <v>41172</v>
      </c>
      <c r="H101">
        <v>7.8</v>
      </c>
      <c r="J101" s="16">
        <v>41172</v>
      </c>
      <c r="K101">
        <v>8.17</v>
      </c>
      <c r="M101" s="16">
        <v>41171</v>
      </c>
      <c r="N101">
        <v>7.33</v>
      </c>
      <c r="P101" s="16">
        <v>41171</v>
      </c>
      <c r="Q101">
        <v>7.39</v>
      </c>
      <c r="R101">
        <f t="shared" si="1"/>
        <v>-1</v>
      </c>
    </row>
    <row r="102" spans="1:18" ht="12.75">
      <c r="A102" s="16">
        <v>41173</v>
      </c>
      <c r="B102">
        <v>8.67</v>
      </c>
      <c r="D102" s="16">
        <v>41173</v>
      </c>
      <c r="E102">
        <v>8.44</v>
      </c>
      <c r="G102" s="16">
        <v>41173</v>
      </c>
      <c r="H102">
        <v>7.78</v>
      </c>
      <c r="J102" s="16">
        <v>41173</v>
      </c>
      <c r="K102">
        <v>8.15</v>
      </c>
      <c r="M102" s="16">
        <v>41172</v>
      </c>
      <c r="N102">
        <v>7.35</v>
      </c>
      <c r="P102" s="16">
        <v>41172</v>
      </c>
      <c r="Q102">
        <v>7.39</v>
      </c>
      <c r="R102">
        <f t="shared" si="1"/>
        <v>-1</v>
      </c>
    </row>
    <row r="103" spans="1:18" ht="12.75">
      <c r="A103" s="16">
        <v>41176</v>
      </c>
      <c r="B103">
        <v>8.63</v>
      </c>
      <c r="D103" s="16">
        <v>41176</v>
      </c>
      <c r="E103">
        <v>8.39</v>
      </c>
      <c r="G103" s="16">
        <v>41176</v>
      </c>
      <c r="H103">
        <v>7.76</v>
      </c>
      <c r="J103" s="16">
        <v>41176</v>
      </c>
      <c r="K103">
        <v>8.1</v>
      </c>
      <c r="M103" s="16">
        <v>41173</v>
      </c>
      <c r="N103">
        <v>7.35</v>
      </c>
      <c r="P103" s="16">
        <v>41173</v>
      </c>
      <c r="Q103">
        <v>7.39</v>
      </c>
      <c r="R103">
        <f t="shared" si="1"/>
        <v>-3</v>
      </c>
    </row>
    <row r="104" spans="1:18" ht="12.75">
      <c r="A104" s="16">
        <v>41177</v>
      </c>
      <c r="B104">
        <v>8.58</v>
      </c>
      <c r="D104" s="16">
        <v>41177</v>
      </c>
      <c r="E104">
        <v>8.34</v>
      </c>
      <c r="G104" s="16">
        <v>41177</v>
      </c>
      <c r="H104">
        <v>7.73</v>
      </c>
      <c r="J104" s="16">
        <v>41177</v>
      </c>
      <c r="K104">
        <v>8.06</v>
      </c>
      <c r="M104" s="16">
        <v>41176</v>
      </c>
      <c r="N104">
        <v>7.35</v>
      </c>
      <c r="P104" s="16">
        <v>41176</v>
      </c>
      <c r="Q104">
        <v>7.39</v>
      </c>
      <c r="R104">
        <f t="shared" si="1"/>
        <v>-1</v>
      </c>
    </row>
    <row r="105" spans="1:18" ht="12.75">
      <c r="A105" s="16">
        <v>41178</v>
      </c>
      <c r="B105">
        <v>8.58</v>
      </c>
      <c r="D105" s="16">
        <v>41178</v>
      </c>
      <c r="E105">
        <v>8.34</v>
      </c>
      <c r="G105" s="16">
        <v>41178</v>
      </c>
      <c r="H105">
        <v>7.73</v>
      </c>
      <c r="J105" s="16">
        <v>41178</v>
      </c>
      <c r="K105">
        <v>8.06</v>
      </c>
      <c r="M105" s="16">
        <v>41177</v>
      </c>
      <c r="N105">
        <v>7.38</v>
      </c>
      <c r="P105" s="16">
        <v>41177</v>
      </c>
      <c r="Q105">
        <v>7.39</v>
      </c>
      <c r="R105">
        <f t="shared" si="1"/>
        <v>-1</v>
      </c>
    </row>
    <row r="106" spans="1:18" ht="12.75">
      <c r="A106" s="16">
        <v>41179</v>
      </c>
      <c r="B106">
        <v>8.56</v>
      </c>
      <c r="D106" s="16">
        <v>41179</v>
      </c>
      <c r="E106">
        <v>8.35</v>
      </c>
      <c r="G106" s="16">
        <v>41179</v>
      </c>
      <c r="H106">
        <v>7.74</v>
      </c>
      <c r="J106" s="16">
        <v>41179</v>
      </c>
      <c r="K106">
        <v>8.07</v>
      </c>
      <c r="M106" s="16">
        <v>41178</v>
      </c>
      <c r="N106">
        <v>7.37</v>
      </c>
      <c r="P106" s="16">
        <v>41178</v>
      </c>
      <c r="Q106">
        <v>7.39</v>
      </c>
      <c r="R106">
        <f t="shared" si="1"/>
        <v>-1</v>
      </c>
    </row>
    <row r="107" spans="1:18" ht="12.75">
      <c r="A107" s="16">
        <v>41180</v>
      </c>
      <c r="B107">
        <v>8.52</v>
      </c>
      <c r="D107" s="16">
        <v>41180</v>
      </c>
      <c r="E107">
        <v>8.31</v>
      </c>
      <c r="G107" s="16">
        <v>41180</v>
      </c>
      <c r="H107">
        <v>7.71</v>
      </c>
      <c r="J107" s="16">
        <v>41180</v>
      </c>
      <c r="K107">
        <v>8.03</v>
      </c>
      <c r="M107" s="16">
        <v>41179</v>
      </c>
      <c r="N107">
        <v>7.36</v>
      </c>
      <c r="P107" s="16">
        <v>41179</v>
      </c>
      <c r="Q107">
        <v>7.39</v>
      </c>
      <c r="R107">
        <f t="shared" si="1"/>
        <v>-1</v>
      </c>
    </row>
    <row r="108" spans="1:18" ht="12.75">
      <c r="A108" s="16">
        <v>41183</v>
      </c>
      <c r="B108">
        <v>8.49</v>
      </c>
      <c r="D108" s="16">
        <v>41183</v>
      </c>
      <c r="E108">
        <v>8.26</v>
      </c>
      <c r="G108" s="16">
        <v>41183</v>
      </c>
      <c r="H108">
        <v>7.67</v>
      </c>
      <c r="J108" s="16">
        <v>41183</v>
      </c>
      <c r="K108">
        <v>7.99</v>
      </c>
      <c r="M108" s="16">
        <v>41180</v>
      </c>
      <c r="N108">
        <v>7.36</v>
      </c>
      <c r="P108" s="16">
        <v>41180</v>
      </c>
      <c r="Q108">
        <v>7.39</v>
      </c>
      <c r="R108">
        <f t="shared" si="1"/>
        <v>-3</v>
      </c>
    </row>
    <row r="109" spans="1:24" ht="12.75">
      <c r="A109" s="16">
        <v>41184</v>
      </c>
      <c r="B109">
        <v>8.42</v>
      </c>
      <c r="D109" s="16">
        <v>41184</v>
      </c>
      <c r="E109">
        <v>8.19</v>
      </c>
      <c r="G109" s="16">
        <v>41184</v>
      </c>
      <c r="H109">
        <v>7.62</v>
      </c>
      <c r="J109" s="16">
        <v>41184</v>
      </c>
      <c r="K109">
        <v>7.92</v>
      </c>
      <c r="M109" s="16">
        <v>41183</v>
      </c>
      <c r="N109">
        <v>7.36</v>
      </c>
      <c r="P109" s="16">
        <v>41183</v>
      </c>
      <c r="Q109">
        <v>7.39</v>
      </c>
      <c r="R109">
        <f t="shared" si="1"/>
        <v>-1</v>
      </c>
      <c r="T109">
        <f>(1+N109/100)^(1/252)</f>
        <v>1.0002818551392345</v>
      </c>
      <c r="U109">
        <v>1</v>
      </c>
      <c r="W109">
        <f>(1+Q109/100)^(1/252)</f>
        <v>1.0002829641612603</v>
      </c>
      <c r="X109">
        <v>1</v>
      </c>
    </row>
    <row r="110" spans="1:24" ht="12.75">
      <c r="A110" s="16">
        <v>41185</v>
      </c>
      <c r="B110">
        <v>8.43</v>
      </c>
      <c r="D110" s="16">
        <v>41185</v>
      </c>
      <c r="E110">
        <v>8.18</v>
      </c>
      <c r="G110" s="16">
        <v>41185</v>
      </c>
      <c r="H110">
        <v>7.61</v>
      </c>
      <c r="J110" s="16">
        <v>41185</v>
      </c>
      <c r="K110">
        <v>7.91</v>
      </c>
      <c r="M110" s="16">
        <v>41184</v>
      </c>
      <c r="N110">
        <v>7.35</v>
      </c>
      <c r="P110" s="16">
        <v>41184</v>
      </c>
      <c r="Q110">
        <v>7.39</v>
      </c>
      <c r="R110">
        <f t="shared" si="1"/>
        <v>-1</v>
      </c>
      <c r="T110">
        <f aca="true" t="shared" si="2" ref="T110:T173">(1+N110/100)^(1/252)</f>
        <v>1.0002814853966318</v>
      </c>
      <c r="U110">
        <f>U109*T109</f>
        <v>1.0002818551392345</v>
      </c>
      <c r="W110">
        <f>(1+Q110/100)^(1/252)</f>
        <v>1.0002829641612603</v>
      </c>
      <c r="X110">
        <f>X109*W109</f>
        <v>1.0002829641612603</v>
      </c>
    </row>
    <row r="111" spans="1:24" ht="12.75">
      <c r="A111" s="16">
        <v>41186</v>
      </c>
      <c r="B111">
        <v>8.39</v>
      </c>
      <c r="D111" s="16">
        <v>41186</v>
      </c>
      <c r="E111">
        <v>8.15</v>
      </c>
      <c r="G111" s="16">
        <v>41186</v>
      </c>
      <c r="H111">
        <v>7.59</v>
      </c>
      <c r="J111" s="16">
        <v>41186</v>
      </c>
      <c r="K111">
        <v>7.89</v>
      </c>
      <c r="M111" s="16">
        <v>41185</v>
      </c>
      <c r="N111">
        <v>7.36</v>
      </c>
      <c r="P111" s="16">
        <v>41185</v>
      </c>
      <c r="Q111">
        <v>7.39</v>
      </c>
      <c r="R111">
        <f t="shared" si="1"/>
        <v>-1</v>
      </c>
      <c r="T111">
        <f t="shared" si="2"/>
        <v>1.0002818551392345</v>
      </c>
      <c r="U111">
        <f aca="true" t="shared" si="3" ref="U111:U174">U110*T110</f>
        <v>1.000563419873972</v>
      </c>
      <c r="W111">
        <f aca="true" t="shared" si="4" ref="W111:W174">(1+Q111/100)^(1/252)</f>
        <v>1.0002829641612603</v>
      </c>
      <c r="X111">
        <f aca="true" t="shared" si="5" ref="X111:X174">X110*W110</f>
        <v>1.000566008391237</v>
      </c>
    </row>
    <row r="112" spans="1:24" ht="12.75">
      <c r="A112" s="16">
        <v>41187</v>
      </c>
      <c r="B112">
        <v>8.18</v>
      </c>
      <c r="D112" s="16">
        <v>41187</v>
      </c>
      <c r="E112">
        <v>7.95</v>
      </c>
      <c r="G112" s="16">
        <v>41187</v>
      </c>
      <c r="H112">
        <v>7.39</v>
      </c>
      <c r="J112" s="16">
        <v>41187</v>
      </c>
      <c r="K112">
        <v>7.6899999999999995</v>
      </c>
      <c r="M112" s="16">
        <v>41186</v>
      </c>
      <c r="N112">
        <v>7.36</v>
      </c>
      <c r="P112" s="16">
        <v>41186</v>
      </c>
      <c r="Q112">
        <v>7.39</v>
      </c>
      <c r="R112">
        <f t="shared" si="1"/>
        <v>-1</v>
      </c>
      <c r="T112">
        <f t="shared" si="2"/>
        <v>1.0002818551392345</v>
      </c>
      <c r="U112">
        <f t="shared" si="3"/>
        <v>1.0008454338159933</v>
      </c>
      <c r="W112">
        <f t="shared" si="4"/>
        <v>1.0002829641612603</v>
      </c>
      <c r="X112">
        <f t="shared" si="5"/>
        <v>1.000849132712587</v>
      </c>
    </row>
    <row r="113" spans="1:24" ht="12.75">
      <c r="A113" s="16">
        <v>41190</v>
      </c>
      <c r="B113">
        <v>8.25</v>
      </c>
      <c r="D113" s="16">
        <v>41190</v>
      </c>
      <c r="E113">
        <v>7.98</v>
      </c>
      <c r="G113" s="16">
        <v>41190</v>
      </c>
      <c r="H113">
        <v>7.45</v>
      </c>
      <c r="J113" s="16">
        <v>41190</v>
      </c>
      <c r="K113">
        <v>7.72</v>
      </c>
      <c r="M113" s="16">
        <v>41187</v>
      </c>
      <c r="N113">
        <v>7.36</v>
      </c>
      <c r="P113" s="16">
        <v>41187</v>
      </c>
      <c r="Q113">
        <v>7.39</v>
      </c>
      <c r="R113">
        <f t="shared" si="1"/>
        <v>-3</v>
      </c>
      <c r="T113">
        <f t="shared" si="2"/>
        <v>1.0002818551392345</v>
      </c>
      <c r="U113">
        <f t="shared" si="3"/>
        <v>1.0011275272450937</v>
      </c>
      <c r="W113">
        <f t="shared" si="4"/>
        <v>1.0002829641612603</v>
      </c>
      <c r="X113">
        <f t="shared" si="5"/>
        <v>1.001132337147973</v>
      </c>
    </row>
    <row r="114" spans="1:24" ht="12.75">
      <c r="A114" s="16">
        <v>41191</v>
      </c>
      <c r="B114">
        <v>8.2</v>
      </c>
      <c r="D114" s="16">
        <v>41191</v>
      </c>
      <c r="E114">
        <v>7.9399999999999995</v>
      </c>
      <c r="G114" s="16">
        <v>41191</v>
      </c>
      <c r="H114">
        <v>7.42</v>
      </c>
      <c r="J114" s="16">
        <v>41191</v>
      </c>
      <c r="K114">
        <v>7.6899999999999995</v>
      </c>
      <c r="M114" s="16">
        <v>41190</v>
      </c>
      <c r="N114">
        <v>7.36</v>
      </c>
      <c r="P114" s="16">
        <v>41190</v>
      </c>
      <c r="Q114">
        <v>7.39</v>
      </c>
      <c r="R114">
        <f t="shared" si="1"/>
        <v>-1</v>
      </c>
      <c r="T114">
        <f t="shared" si="2"/>
        <v>1.0002818551392345</v>
      </c>
      <c r="U114">
        <f t="shared" si="3"/>
        <v>1.0014097001836768</v>
      </c>
      <c r="W114">
        <f t="shared" si="4"/>
        <v>1.0002829641612603</v>
      </c>
      <c r="X114">
        <f t="shared" si="5"/>
        <v>1.0014156217200647</v>
      </c>
    </row>
    <row r="115" spans="1:24" ht="12.75">
      <c r="A115" s="16">
        <v>41192</v>
      </c>
      <c r="B115">
        <v>8.24</v>
      </c>
      <c r="D115" s="16">
        <v>41192</v>
      </c>
      <c r="E115">
        <v>7.99</v>
      </c>
      <c r="G115" s="16">
        <v>41192</v>
      </c>
      <c r="H115">
        <v>7.45</v>
      </c>
      <c r="J115" s="16">
        <v>41192</v>
      </c>
      <c r="K115">
        <v>7.75</v>
      </c>
      <c r="M115" s="16">
        <v>41191</v>
      </c>
      <c r="N115">
        <v>7.35</v>
      </c>
      <c r="P115" s="16">
        <v>41191</v>
      </c>
      <c r="Q115">
        <v>7.39</v>
      </c>
      <c r="R115">
        <f t="shared" si="1"/>
        <v>-1</v>
      </c>
      <c r="T115">
        <f t="shared" si="2"/>
        <v>1.0002814853966318</v>
      </c>
      <c r="U115">
        <f t="shared" si="3"/>
        <v>1.0016919526541528</v>
      </c>
      <c r="W115">
        <f t="shared" si="4"/>
        <v>1.0002829641612603</v>
      </c>
      <c r="X115">
        <f t="shared" si="5"/>
        <v>1.0016989864515378</v>
      </c>
    </row>
    <row r="116" spans="1:24" ht="12.75">
      <c r="A116" s="16">
        <v>41193</v>
      </c>
      <c r="B116">
        <v>8.19</v>
      </c>
      <c r="D116" s="16">
        <v>41193</v>
      </c>
      <c r="E116">
        <v>7.97</v>
      </c>
      <c r="G116" s="16">
        <v>41193</v>
      </c>
      <c r="H116">
        <v>7.45</v>
      </c>
      <c r="J116" s="16">
        <v>41193</v>
      </c>
      <c r="K116">
        <v>7.73</v>
      </c>
      <c r="M116" s="16">
        <v>41192</v>
      </c>
      <c r="N116">
        <v>7.33</v>
      </c>
      <c r="P116" s="16">
        <v>41192</v>
      </c>
      <c r="Q116">
        <v>7.39</v>
      </c>
      <c r="R116">
        <f t="shared" si="1"/>
        <v>-1</v>
      </c>
      <c r="T116">
        <f t="shared" si="2"/>
        <v>1.0002807458084972</v>
      </c>
      <c r="U116">
        <f t="shared" si="3"/>
        <v>1.0019739143107484</v>
      </c>
      <c r="W116">
        <f t="shared" si="4"/>
        <v>1.0002829641612603</v>
      </c>
      <c r="X116">
        <f t="shared" si="5"/>
        <v>1.0019824313650743</v>
      </c>
    </row>
    <row r="117" spans="1:24" ht="12.75">
      <c r="A117" s="16">
        <v>41197</v>
      </c>
      <c r="B117">
        <v>8.21</v>
      </c>
      <c r="D117" s="16">
        <v>41197</v>
      </c>
      <c r="E117">
        <v>7.97</v>
      </c>
      <c r="G117" s="16">
        <v>41197</v>
      </c>
      <c r="H117">
        <v>7.46</v>
      </c>
      <c r="J117" s="16">
        <v>41197</v>
      </c>
      <c r="K117">
        <v>7.74</v>
      </c>
      <c r="M117" s="16">
        <v>41193</v>
      </c>
      <c r="N117">
        <v>7.04</v>
      </c>
      <c r="P117" s="16">
        <v>41193</v>
      </c>
      <c r="Q117">
        <v>7.14</v>
      </c>
      <c r="R117">
        <f t="shared" si="1"/>
        <v>-4</v>
      </c>
      <c r="T117">
        <f t="shared" si="2"/>
        <v>1.0002700063276555</v>
      </c>
      <c r="U117">
        <f t="shared" si="3"/>
        <v>1.0022552142874148</v>
      </c>
      <c r="W117">
        <f t="shared" si="4"/>
        <v>1.0002737128670753</v>
      </c>
      <c r="X117">
        <f t="shared" si="5"/>
        <v>1.002265956483363</v>
      </c>
    </row>
    <row r="118" spans="1:24" ht="12.75">
      <c r="A118" s="16">
        <v>41198</v>
      </c>
      <c r="B118">
        <v>8.08</v>
      </c>
      <c r="D118" s="16">
        <v>41198</v>
      </c>
      <c r="E118">
        <v>7.87</v>
      </c>
      <c r="G118" s="16">
        <v>41198</v>
      </c>
      <c r="H118">
        <v>7.39</v>
      </c>
      <c r="J118" s="16">
        <v>41198</v>
      </c>
      <c r="K118">
        <v>7.65</v>
      </c>
      <c r="M118" s="16">
        <v>41197</v>
      </c>
      <c r="N118">
        <v>7.04</v>
      </c>
      <c r="P118" s="16">
        <v>41197</v>
      </c>
      <c r="Q118">
        <v>7.14</v>
      </c>
      <c r="R118">
        <f t="shared" si="1"/>
        <v>-1</v>
      </c>
      <c r="T118">
        <f t="shared" si="2"/>
        <v>1.0002700063276555</v>
      </c>
      <c r="U118">
        <f t="shared" si="3"/>
        <v>1.0025258295371982</v>
      </c>
      <c r="W118">
        <f t="shared" si="4"/>
        <v>1.0002737128670753</v>
      </c>
      <c r="X118">
        <f t="shared" si="5"/>
        <v>1.002540289571884</v>
      </c>
    </row>
    <row r="119" spans="1:24" ht="12.75">
      <c r="A119" s="16">
        <v>41199</v>
      </c>
      <c r="B119">
        <v>8.16</v>
      </c>
      <c r="D119" s="16">
        <v>41199</v>
      </c>
      <c r="E119">
        <v>7.93</v>
      </c>
      <c r="G119" s="16">
        <v>41199</v>
      </c>
      <c r="H119">
        <v>7.43</v>
      </c>
      <c r="J119" s="16">
        <v>41199</v>
      </c>
      <c r="K119">
        <v>7.71</v>
      </c>
      <c r="M119" s="16">
        <v>41198</v>
      </c>
      <c r="N119">
        <v>7.05</v>
      </c>
      <c r="P119" s="16">
        <v>41198</v>
      </c>
      <c r="Q119">
        <v>7.14</v>
      </c>
      <c r="R119">
        <f t="shared" si="1"/>
        <v>-1</v>
      </c>
      <c r="T119">
        <f t="shared" si="2"/>
        <v>1.0002703771367696</v>
      </c>
      <c r="U119">
        <f t="shared" si="3"/>
        <v>1.0027965178548113</v>
      </c>
      <c r="W119">
        <f t="shared" si="4"/>
        <v>1.0002737128670753</v>
      </c>
      <c r="X119">
        <f t="shared" si="5"/>
        <v>1.0028146977489012</v>
      </c>
    </row>
    <row r="120" spans="1:24" ht="12.75">
      <c r="A120" s="16">
        <v>41200</v>
      </c>
      <c r="B120">
        <v>8.12</v>
      </c>
      <c r="D120" s="16">
        <v>41200</v>
      </c>
      <c r="E120">
        <v>7.91</v>
      </c>
      <c r="G120" s="16">
        <v>41200</v>
      </c>
      <c r="H120">
        <v>7.41</v>
      </c>
      <c r="J120" s="16">
        <v>41200</v>
      </c>
      <c r="K120">
        <v>7.68</v>
      </c>
      <c r="M120" s="16">
        <v>41199</v>
      </c>
      <c r="N120">
        <v>7.06</v>
      </c>
      <c r="P120" s="16">
        <v>41199</v>
      </c>
      <c r="Q120">
        <v>7.14</v>
      </c>
      <c r="R120">
        <f t="shared" si="1"/>
        <v>-1</v>
      </c>
      <c r="T120">
        <f t="shared" si="2"/>
        <v>1.0002707479113837</v>
      </c>
      <c r="U120">
        <f t="shared" si="3"/>
        <v>1.0030676511060714</v>
      </c>
      <c r="W120">
        <f t="shared" si="4"/>
        <v>1.0002737128670753</v>
      </c>
      <c r="X120">
        <f t="shared" si="5"/>
        <v>1.0030891810349674</v>
      </c>
    </row>
    <row r="121" spans="1:24" ht="12.75">
      <c r="A121" s="16">
        <v>41201</v>
      </c>
      <c r="B121">
        <v>8.15</v>
      </c>
      <c r="D121" s="16">
        <v>41201</v>
      </c>
      <c r="E121">
        <v>7.93</v>
      </c>
      <c r="G121" s="16">
        <v>41201</v>
      </c>
      <c r="H121">
        <v>7.42</v>
      </c>
      <c r="J121" s="16">
        <v>41201</v>
      </c>
      <c r="K121">
        <v>7.7</v>
      </c>
      <c r="M121" s="16">
        <v>41200</v>
      </c>
      <c r="N121">
        <v>7.08</v>
      </c>
      <c r="P121" s="16">
        <v>41200</v>
      </c>
      <c r="Q121">
        <v>7.14</v>
      </c>
      <c r="R121">
        <f t="shared" si="1"/>
        <v>-1</v>
      </c>
      <c r="T121">
        <f t="shared" si="2"/>
        <v>1.0002714893571383</v>
      </c>
      <c r="U121">
        <f t="shared" si="3"/>
        <v>1.003339229577585</v>
      </c>
      <c r="W121">
        <f t="shared" si="4"/>
        <v>1.0002737128670753</v>
      </c>
      <c r="X121">
        <f t="shared" si="5"/>
        <v>1.0033637394506407</v>
      </c>
    </row>
    <row r="122" spans="1:24" ht="12.75">
      <c r="A122" s="16">
        <v>41204</v>
      </c>
      <c r="B122">
        <v>8.1</v>
      </c>
      <c r="D122" s="16">
        <v>41204</v>
      </c>
      <c r="E122">
        <v>7.89</v>
      </c>
      <c r="G122" s="16">
        <v>41204</v>
      </c>
      <c r="H122">
        <v>7.4</v>
      </c>
      <c r="J122" s="16">
        <v>41204</v>
      </c>
      <c r="K122">
        <v>7.67</v>
      </c>
      <c r="M122" s="16">
        <v>41201</v>
      </c>
      <c r="N122">
        <v>7.08</v>
      </c>
      <c r="P122" s="16">
        <v>41201</v>
      </c>
      <c r="Q122">
        <v>7.14</v>
      </c>
      <c r="R122">
        <f t="shared" si="1"/>
        <v>-3</v>
      </c>
      <c r="T122">
        <f t="shared" si="2"/>
        <v>1.0002714893571383</v>
      </c>
      <c r="U122">
        <f t="shared" si="3"/>
        <v>1.0036116255000145</v>
      </c>
      <c r="W122">
        <f t="shared" si="4"/>
        <v>1.0002737128670753</v>
      </c>
      <c r="X122">
        <f t="shared" si="5"/>
        <v>1.0036383730164853</v>
      </c>
    </row>
    <row r="123" spans="1:24" ht="12.75">
      <c r="A123" s="16">
        <v>41205</v>
      </c>
      <c r="B123">
        <v>8.07</v>
      </c>
      <c r="D123" s="16">
        <v>41205</v>
      </c>
      <c r="E123">
        <v>7.88</v>
      </c>
      <c r="G123" s="16">
        <v>41205</v>
      </c>
      <c r="H123">
        <v>7.39</v>
      </c>
      <c r="J123" s="16">
        <v>41205</v>
      </c>
      <c r="K123">
        <v>7.66</v>
      </c>
      <c r="M123" s="16">
        <v>41204</v>
      </c>
      <c r="N123">
        <v>7.12</v>
      </c>
      <c r="P123" s="16">
        <v>41204</v>
      </c>
      <c r="Q123">
        <v>7.14</v>
      </c>
      <c r="R123">
        <f t="shared" si="1"/>
        <v>-1</v>
      </c>
      <c r="T123">
        <f t="shared" si="2"/>
        <v>1.0002729718349328</v>
      </c>
      <c r="U123">
        <f t="shared" si="3"/>
        <v>1.003884095375038</v>
      </c>
      <c r="W123">
        <f t="shared" si="4"/>
        <v>1.0002737128670753</v>
      </c>
      <c r="X123">
        <f t="shared" si="5"/>
        <v>1.0039130817530704</v>
      </c>
    </row>
    <row r="124" spans="1:24" ht="12.75">
      <c r="A124" s="16">
        <v>41206</v>
      </c>
      <c r="B124">
        <v>8.04</v>
      </c>
      <c r="D124" s="16">
        <v>41206</v>
      </c>
      <c r="E124">
        <v>7.85</v>
      </c>
      <c r="G124" s="16">
        <v>41206</v>
      </c>
      <c r="H124">
        <v>7.36</v>
      </c>
      <c r="J124" s="16">
        <v>41206</v>
      </c>
      <c r="K124">
        <v>7.62</v>
      </c>
      <c r="M124" s="16">
        <v>41205</v>
      </c>
      <c r="N124">
        <v>7.12</v>
      </c>
      <c r="P124" s="16">
        <v>41205</v>
      </c>
      <c r="Q124">
        <v>7.14</v>
      </c>
      <c r="R124">
        <f t="shared" si="1"/>
        <v>-1</v>
      </c>
      <c r="T124">
        <f t="shared" si="2"/>
        <v>1.0002729718349328</v>
      </c>
      <c r="U124">
        <f t="shared" si="3"/>
        <v>1.0041581274586124</v>
      </c>
      <c r="W124">
        <f t="shared" si="4"/>
        <v>1.0002737128670753</v>
      </c>
      <c r="X124">
        <f t="shared" si="5"/>
        <v>1.0041878656809715</v>
      </c>
    </row>
    <row r="125" spans="1:24" ht="12.75">
      <c r="A125" s="16">
        <v>41207</v>
      </c>
      <c r="B125">
        <v>8.03</v>
      </c>
      <c r="D125" s="16">
        <v>41207</v>
      </c>
      <c r="E125">
        <v>7.82</v>
      </c>
      <c r="G125" s="16">
        <v>41207</v>
      </c>
      <c r="H125">
        <v>7.34</v>
      </c>
      <c r="J125" s="16">
        <v>41207</v>
      </c>
      <c r="K125">
        <v>7.59</v>
      </c>
      <c r="M125" s="16">
        <v>41206</v>
      </c>
      <c r="N125">
        <v>7.13</v>
      </c>
      <c r="P125" s="16">
        <v>41206</v>
      </c>
      <c r="Q125">
        <v>7.14</v>
      </c>
      <c r="R125">
        <f t="shared" si="1"/>
        <v>-1</v>
      </c>
      <c r="T125">
        <f t="shared" si="2"/>
        <v>1.0002733423682282</v>
      </c>
      <c r="U125">
        <f t="shared" si="3"/>
        <v>1.0044322343452274</v>
      </c>
      <c r="W125">
        <f t="shared" si="4"/>
        <v>1.0002737128670753</v>
      </c>
      <c r="X125">
        <f t="shared" si="5"/>
        <v>1.0044627248207694</v>
      </c>
    </row>
    <row r="126" spans="1:24" ht="12.75">
      <c r="A126" s="16">
        <v>41208</v>
      </c>
      <c r="B126">
        <v>7.98</v>
      </c>
      <c r="D126" s="16">
        <v>41208</v>
      </c>
      <c r="E126">
        <v>7.8</v>
      </c>
      <c r="G126" s="16">
        <v>41208</v>
      </c>
      <c r="H126">
        <v>7.33</v>
      </c>
      <c r="J126" s="16">
        <v>41208</v>
      </c>
      <c r="K126">
        <v>7.59</v>
      </c>
      <c r="M126" s="16">
        <v>41207</v>
      </c>
      <c r="N126">
        <v>7.11</v>
      </c>
      <c r="P126" s="16">
        <v>41207</v>
      </c>
      <c r="Q126">
        <v>7.14</v>
      </c>
      <c r="R126">
        <f t="shared" si="1"/>
        <v>-1</v>
      </c>
      <c r="T126">
        <f t="shared" si="2"/>
        <v>1.0002726012671825</v>
      </c>
      <c r="U126">
        <f t="shared" si="3"/>
        <v>1.004706788230888</v>
      </c>
      <c r="W126">
        <f t="shared" si="4"/>
        <v>1.0002737128670753</v>
      </c>
      <c r="X126">
        <f t="shared" si="5"/>
        <v>1.0047376591930504</v>
      </c>
    </row>
    <row r="127" spans="1:24" ht="12.75">
      <c r="A127" s="16">
        <v>41211</v>
      </c>
      <c r="B127">
        <v>7.99</v>
      </c>
      <c r="D127" s="16">
        <v>41211</v>
      </c>
      <c r="E127">
        <v>7.79</v>
      </c>
      <c r="G127" s="16">
        <v>41211</v>
      </c>
      <c r="H127">
        <v>7.34</v>
      </c>
      <c r="J127" s="16">
        <v>41211</v>
      </c>
      <c r="K127">
        <v>7.6</v>
      </c>
      <c r="M127" s="16">
        <v>41208</v>
      </c>
      <c r="N127">
        <v>7.09</v>
      </c>
      <c r="P127" s="16">
        <v>41208</v>
      </c>
      <c r="Q127">
        <v>7.14</v>
      </c>
      <c r="R127">
        <f t="shared" si="1"/>
        <v>-3</v>
      </c>
      <c r="T127">
        <f t="shared" si="2"/>
        <v>1.0002718600282916</v>
      </c>
      <c r="U127">
        <f t="shared" si="3"/>
        <v>1.0049806725745067</v>
      </c>
      <c r="W127">
        <f t="shared" si="4"/>
        <v>1.0002737128670753</v>
      </c>
      <c r="X127">
        <f t="shared" si="5"/>
        <v>1.0050126688184067</v>
      </c>
    </row>
    <row r="128" spans="1:24" ht="12.75">
      <c r="A128" s="16">
        <v>41212</v>
      </c>
      <c r="B128">
        <v>8</v>
      </c>
      <c r="D128" s="16">
        <v>41212</v>
      </c>
      <c r="E128">
        <v>7.8100000000000005</v>
      </c>
      <c r="G128" s="16">
        <v>41212</v>
      </c>
      <c r="H128">
        <v>7.34</v>
      </c>
      <c r="J128" s="16">
        <v>41212</v>
      </c>
      <c r="K128">
        <v>7.6</v>
      </c>
      <c r="M128" s="16">
        <v>41211</v>
      </c>
      <c r="N128">
        <v>7.08</v>
      </c>
      <c r="P128" s="16">
        <v>41211</v>
      </c>
      <c r="Q128">
        <v>7.14</v>
      </c>
      <c r="R128">
        <f t="shared" si="1"/>
        <v>-1</v>
      </c>
      <c r="T128">
        <f t="shared" si="2"/>
        <v>1.0002714893571383</v>
      </c>
      <c r="U128">
        <f t="shared" si="3"/>
        <v>1.0052538866485854</v>
      </c>
      <c r="W128">
        <f t="shared" si="4"/>
        <v>1.0002737128670753</v>
      </c>
      <c r="X128">
        <f t="shared" si="5"/>
        <v>1.005287753717436</v>
      </c>
    </row>
    <row r="129" spans="1:24" ht="12.75">
      <c r="A129" s="16">
        <v>41213</v>
      </c>
      <c r="B129">
        <v>8.01</v>
      </c>
      <c r="D129" s="16">
        <v>41213</v>
      </c>
      <c r="E129">
        <v>7.82</v>
      </c>
      <c r="G129" s="16">
        <v>41213</v>
      </c>
      <c r="H129">
        <v>7.34</v>
      </c>
      <c r="J129" s="16">
        <v>41213</v>
      </c>
      <c r="K129">
        <v>7.6</v>
      </c>
      <c r="M129" s="16">
        <v>41212</v>
      </c>
      <c r="N129">
        <v>7.07</v>
      </c>
      <c r="P129" s="16">
        <v>41212</v>
      </c>
      <c r="Q129">
        <v>7.14</v>
      </c>
      <c r="R129">
        <f t="shared" si="1"/>
        <v>-1</v>
      </c>
      <c r="T129">
        <f t="shared" si="2"/>
        <v>1.0002711186515045</v>
      </c>
      <c r="U129">
        <f t="shared" si="3"/>
        <v>1.0055268023800323</v>
      </c>
      <c r="W129">
        <f t="shared" si="4"/>
        <v>1.0002737128670753</v>
      </c>
      <c r="X129">
        <f t="shared" si="5"/>
        <v>1.0055629139107418</v>
      </c>
    </row>
    <row r="130" spans="1:24" ht="12.75">
      <c r="A130" s="16">
        <v>41214</v>
      </c>
      <c r="B130">
        <v>8.04</v>
      </c>
      <c r="D130" s="16">
        <v>41214</v>
      </c>
      <c r="E130">
        <v>7.83</v>
      </c>
      <c r="G130" s="16">
        <v>41214</v>
      </c>
      <c r="H130">
        <v>7.34</v>
      </c>
      <c r="J130" s="16">
        <v>41214</v>
      </c>
      <c r="K130">
        <v>7.59</v>
      </c>
      <c r="M130" s="16">
        <v>41213</v>
      </c>
      <c r="N130">
        <v>7.09</v>
      </c>
      <c r="P130" s="16">
        <v>41213</v>
      </c>
      <c r="Q130">
        <v>7.14</v>
      </c>
      <c r="R130">
        <f t="shared" si="1"/>
        <v>-1</v>
      </c>
      <c r="T130">
        <f t="shared" si="2"/>
        <v>1.0002718600282916</v>
      </c>
      <c r="U130">
        <f t="shared" si="3"/>
        <v>1.0057994194507454</v>
      </c>
      <c r="W130">
        <f t="shared" si="4"/>
        <v>1.0002737128670753</v>
      </c>
      <c r="X130">
        <f t="shared" si="5"/>
        <v>1.005838149418933</v>
      </c>
    </row>
    <row r="131" spans="1:24" ht="12.75">
      <c r="A131" s="16">
        <v>41218</v>
      </c>
      <c r="B131">
        <v>8.02</v>
      </c>
      <c r="D131" s="16">
        <v>41218</v>
      </c>
      <c r="E131">
        <v>7.8</v>
      </c>
      <c r="G131" s="16">
        <v>41218</v>
      </c>
      <c r="H131">
        <v>7.32</v>
      </c>
      <c r="J131" s="16">
        <v>41218</v>
      </c>
      <c r="K131">
        <v>7.58</v>
      </c>
      <c r="M131" s="16">
        <v>41214</v>
      </c>
      <c r="N131">
        <v>7.11</v>
      </c>
      <c r="P131" s="16">
        <v>41214</v>
      </c>
      <c r="Q131">
        <v>7.14</v>
      </c>
      <c r="R131">
        <f t="shared" si="1"/>
        <v>-4</v>
      </c>
      <c r="T131">
        <f t="shared" si="2"/>
        <v>1.0002726012671825</v>
      </c>
      <c r="U131">
        <f t="shared" si="3"/>
        <v>1.006072856109373</v>
      </c>
      <c r="W131">
        <f t="shared" si="4"/>
        <v>1.0002737128670753</v>
      </c>
      <c r="X131">
        <f t="shared" si="5"/>
        <v>1.0061134602626243</v>
      </c>
    </row>
    <row r="132" spans="1:24" ht="12.75">
      <c r="A132" s="16">
        <v>41219</v>
      </c>
      <c r="B132">
        <v>8.08</v>
      </c>
      <c r="D132" s="16">
        <v>41219</v>
      </c>
      <c r="E132">
        <v>7.84</v>
      </c>
      <c r="G132" s="16">
        <v>41219</v>
      </c>
      <c r="H132">
        <v>7.33</v>
      </c>
      <c r="J132" s="16">
        <v>41219</v>
      </c>
      <c r="K132">
        <v>7.61</v>
      </c>
      <c r="M132" s="16">
        <v>41218</v>
      </c>
      <c r="N132">
        <v>7.12</v>
      </c>
      <c r="P132" s="16">
        <v>41218</v>
      </c>
      <c r="Q132">
        <v>7.14</v>
      </c>
      <c r="R132">
        <f aca="true" t="shared" si="6" ref="R132:R195">M132-J132</f>
        <v>-1</v>
      </c>
      <c r="T132">
        <f t="shared" si="2"/>
        <v>1.0002729718349328</v>
      </c>
      <c r="U132">
        <f t="shared" si="3"/>
        <v>1.0063471128448265</v>
      </c>
      <c r="W132">
        <f t="shared" si="4"/>
        <v>1.0002737128670753</v>
      </c>
      <c r="X132">
        <f t="shared" si="5"/>
        <v>1.0063888464624358</v>
      </c>
    </row>
    <row r="133" spans="1:24" ht="12.75">
      <c r="A133" s="16">
        <v>41220</v>
      </c>
      <c r="B133">
        <v>8.05</v>
      </c>
      <c r="D133" s="16">
        <v>41220</v>
      </c>
      <c r="E133">
        <v>7.84</v>
      </c>
      <c r="G133" s="16">
        <v>41220</v>
      </c>
      <c r="H133">
        <v>7.33</v>
      </c>
      <c r="J133" s="16">
        <v>41220</v>
      </c>
      <c r="K133">
        <v>7.59</v>
      </c>
      <c r="M133" s="16">
        <v>41219</v>
      </c>
      <c r="N133">
        <v>7.12</v>
      </c>
      <c r="P133" s="16">
        <v>41219</v>
      </c>
      <c r="Q133">
        <v>7.14</v>
      </c>
      <c r="R133">
        <f t="shared" si="6"/>
        <v>-1</v>
      </c>
      <c r="T133">
        <f t="shared" si="2"/>
        <v>1.0002729718349328</v>
      </c>
      <c r="U133">
        <f t="shared" si="3"/>
        <v>1.006621817262799</v>
      </c>
      <c r="W133">
        <f t="shared" si="4"/>
        <v>1.0002737128670753</v>
      </c>
      <c r="X133">
        <f t="shared" si="5"/>
        <v>1.0066643080389936</v>
      </c>
    </row>
    <row r="134" spans="1:24" ht="12.75">
      <c r="A134" s="16">
        <v>41221</v>
      </c>
      <c r="B134">
        <v>8.09</v>
      </c>
      <c r="D134" s="16">
        <v>41221</v>
      </c>
      <c r="E134">
        <v>7.86</v>
      </c>
      <c r="G134" s="16">
        <v>41221</v>
      </c>
      <c r="H134">
        <v>7.34</v>
      </c>
      <c r="J134" s="16">
        <v>41221</v>
      </c>
      <c r="K134">
        <v>7.6</v>
      </c>
      <c r="M134" s="16">
        <v>41220</v>
      </c>
      <c r="N134">
        <v>7.13</v>
      </c>
      <c r="P134" s="16">
        <v>41220</v>
      </c>
      <c r="Q134">
        <v>7.14</v>
      </c>
      <c r="R134">
        <f t="shared" si="6"/>
        <v>-1</v>
      </c>
      <c r="T134">
        <f t="shared" si="2"/>
        <v>1.0002733423682282</v>
      </c>
      <c r="U134">
        <f t="shared" si="3"/>
        <v>1.0068965966673407</v>
      </c>
      <c r="W134">
        <f t="shared" si="4"/>
        <v>1.0002737128670753</v>
      </c>
      <c r="X134">
        <f t="shared" si="5"/>
        <v>1.0069398450129294</v>
      </c>
    </row>
    <row r="135" spans="1:24" ht="12.75">
      <c r="A135" s="16">
        <v>41222</v>
      </c>
      <c r="B135">
        <v>8.12</v>
      </c>
      <c r="D135" s="16">
        <v>41222</v>
      </c>
      <c r="E135">
        <v>7.89</v>
      </c>
      <c r="G135" s="16">
        <v>41222</v>
      </c>
      <c r="H135">
        <v>7.35</v>
      </c>
      <c r="J135" s="16">
        <v>41222</v>
      </c>
      <c r="K135">
        <v>7.62</v>
      </c>
      <c r="M135" s="16">
        <v>41221</v>
      </c>
      <c r="N135">
        <v>7.09</v>
      </c>
      <c r="P135" s="16">
        <v>41221</v>
      </c>
      <c r="Q135">
        <v>7.14</v>
      </c>
      <c r="R135">
        <f t="shared" si="6"/>
        <v>-1</v>
      </c>
      <c r="T135">
        <f t="shared" si="2"/>
        <v>1.0002718600282916</v>
      </c>
      <c r="U135">
        <f t="shared" si="3"/>
        <v>1.0071718241676346</v>
      </c>
      <c r="W135">
        <f t="shared" si="4"/>
        <v>1.0002737128670753</v>
      </c>
      <c r="X135">
        <f t="shared" si="5"/>
        <v>1.0072154574048804</v>
      </c>
    </row>
    <row r="136" spans="1:24" ht="12.75">
      <c r="A136" s="16">
        <v>41225</v>
      </c>
      <c r="B136">
        <v>8.16</v>
      </c>
      <c r="D136" s="16">
        <v>41225</v>
      </c>
      <c r="E136">
        <v>7.93</v>
      </c>
      <c r="G136" s="16">
        <v>41225</v>
      </c>
      <c r="H136">
        <v>7.36</v>
      </c>
      <c r="J136" s="16">
        <v>41225</v>
      </c>
      <c r="K136">
        <v>7.64</v>
      </c>
      <c r="M136" s="16">
        <v>41222</v>
      </c>
      <c r="N136">
        <v>7.09</v>
      </c>
      <c r="P136" s="16">
        <v>41222</v>
      </c>
      <c r="Q136">
        <v>7.14</v>
      </c>
      <c r="R136">
        <f t="shared" si="6"/>
        <v>-3</v>
      </c>
      <c r="T136">
        <f t="shared" si="2"/>
        <v>1.0002718600282916</v>
      </c>
      <c r="U136">
        <f t="shared" si="3"/>
        <v>1.0074456339282474</v>
      </c>
      <c r="W136">
        <f t="shared" si="4"/>
        <v>1.0002737128670753</v>
      </c>
      <c r="X136">
        <f t="shared" si="5"/>
        <v>1.0074911452354893</v>
      </c>
    </row>
    <row r="137" spans="1:24" ht="12.75">
      <c r="A137" s="16">
        <v>41226</v>
      </c>
      <c r="B137">
        <v>8.23</v>
      </c>
      <c r="D137" s="16">
        <v>41226</v>
      </c>
      <c r="E137">
        <v>7.98</v>
      </c>
      <c r="G137" s="16">
        <v>41226</v>
      </c>
      <c r="H137">
        <v>7.38</v>
      </c>
      <c r="J137" s="16">
        <v>41226</v>
      </c>
      <c r="K137">
        <v>7.68</v>
      </c>
      <c r="M137" s="16">
        <v>41225</v>
      </c>
      <c r="N137">
        <v>7.07</v>
      </c>
      <c r="P137" s="16">
        <v>41225</v>
      </c>
      <c r="Q137">
        <v>7.14</v>
      </c>
      <c r="R137">
        <f t="shared" si="6"/>
        <v>-1</v>
      </c>
      <c r="T137">
        <f t="shared" si="2"/>
        <v>1.0002711186515045</v>
      </c>
      <c r="U137">
        <f t="shared" si="3"/>
        <v>1.0077195181267893</v>
      </c>
      <c r="W137">
        <f t="shared" si="4"/>
        <v>1.0002737128670753</v>
      </c>
      <c r="X137">
        <f t="shared" si="5"/>
        <v>1.0077669085254048</v>
      </c>
    </row>
    <row r="138" spans="1:24" ht="12.75">
      <c r="A138" s="16">
        <v>41227</v>
      </c>
      <c r="B138">
        <v>8.3</v>
      </c>
      <c r="D138" s="16">
        <v>41227</v>
      </c>
      <c r="E138">
        <v>8.05</v>
      </c>
      <c r="G138" s="16">
        <v>41227</v>
      </c>
      <c r="H138">
        <v>7.41</v>
      </c>
      <c r="J138" s="16">
        <v>41227</v>
      </c>
      <c r="K138">
        <v>7.7</v>
      </c>
      <c r="M138" s="16">
        <v>41226</v>
      </c>
      <c r="N138">
        <v>7.06</v>
      </c>
      <c r="P138" s="16">
        <v>41226</v>
      </c>
      <c r="Q138">
        <v>7.14</v>
      </c>
      <c r="R138">
        <f t="shared" si="6"/>
        <v>-1</v>
      </c>
      <c r="T138">
        <f t="shared" si="2"/>
        <v>1.0002707479113837</v>
      </c>
      <c r="U138">
        <f t="shared" si="3"/>
        <v>1.0079927296836386</v>
      </c>
      <c r="W138">
        <f t="shared" si="4"/>
        <v>1.0002737128670753</v>
      </c>
      <c r="X138">
        <f t="shared" si="5"/>
        <v>1.008042747295281</v>
      </c>
    </row>
    <row r="139" spans="1:24" ht="12.75">
      <c r="A139" s="16">
        <v>41229</v>
      </c>
      <c r="B139">
        <v>8.24</v>
      </c>
      <c r="D139" s="16">
        <v>41229</v>
      </c>
      <c r="E139">
        <v>8</v>
      </c>
      <c r="G139" s="16">
        <v>41229</v>
      </c>
      <c r="H139">
        <v>7.38</v>
      </c>
      <c r="J139" s="16">
        <v>41229</v>
      </c>
      <c r="K139">
        <v>7.66</v>
      </c>
      <c r="M139" s="16">
        <v>41227</v>
      </c>
      <c r="N139">
        <v>7.06</v>
      </c>
      <c r="P139" s="16">
        <v>41227</v>
      </c>
      <c r="Q139">
        <v>7.14</v>
      </c>
      <c r="R139">
        <f t="shared" si="6"/>
        <v>-2</v>
      </c>
      <c r="T139">
        <f t="shared" si="2"/>
        <v>1.0002707479113837</v>
      </c>
      <c r="U139">
        <f t="shared" si="3"/>
        <v>1.0082656416098905</v>
      </c>
      <c r="W139">
        <f t="shared" si="4"/>
        <v>1.0002737128670753</v>
      </c>
      <c r="X139">
        <f t="shared" si="5"/>
        <v>1.0083186615657778</v>
      </c>
    </row>
    <row r="140" spans="1:24" ht="12.75">
      <c r="A140" s="16">
        <v>41232</v>
      </c>
      <c r="B140">
        <v>8.22</v>
      </c>
      <c r="D140" s="16">
        <v>41232</v>
      </c>
      <c r="E140">
        <v>7.95</v>
      </c>
      <c r="G140" s="16">
        <v>41232</v>
      </c>
      <c r="H140">
        <v>7.34</v>
      </c>
      <c r="J140" s="16">
        <v>41232</v>
      </c>
      <c r="K140">
        <v>7.63</v>
      </c>
      <c r="M140" s="16">
        <v>41229</v>
      </c>
      <c r="N140">
        <v>7.05</v>
      </c>
      <c r="P140" s="16">
        <v>41229</v>
      </c>
      <c r="Q140">
        <v>7.14</v>
      </c>
      <c r="R140">
        <f t="shared" si="6"/>
        <v>-3</v>
      </c>
      <c r="T140">
        <f t="shared" si="2"/>
        <v>1.0002703771367696</v>
      </c>
      <c r="U140">
        <f t="shared" si="3"/>
        <v>1.0085386274264763</v>
      </c>
      <c r="W140">
        <f t="shared" si="4"/>
        <v>1.0002737128670753</v>
      </c>
      <c r="X140">
        <f t="shared" si="5"/>
        <v>1.0085946513575605</v>
      </c>
    </row>
    <row r="141" spans="1:24" ht="12.75">
      <c r="A141" s="16">
        <v>41234</v>
      </c>
      <c r="B141">
        <v>8.3</v>
      </c>
      <c r="D141" s="16">
        <v>41234</v>
      </c>
      <c r="E141">
        <v>8.04</v>
      </c>
      <c r="G141" s="16">
        <v>41234</v>
      </c>
      <c r="H141">
        <v>7.36</v>
      </c>
      <c r="J141" s="16">
        <v>41234</v>
      </c>
      <c r="K141">
        <v>7.67</v>
      </c>
      <c r="M141" s="16">
        <v>41232</v>
      </c>
      <c r="N141">
        <v>7.03</v>
      </c>
      <c r="P141" s="16">
        <v>41232</v>
      </c>
      <c r="Q141">
        <v>7.14</v>
      </c>
      <c r="R141">
        <f t="shared" si="6"/>
        <v>-2</v>
      </c>
      <c r="T141">
        <f t="shared" si="2"/>
        <v>1.0002696354840355</v>
      </c>
      <c r="U141">
        <f t="shared" si="3"/>
        <v>1.0088113132128813</v>
      </c>
      <c r="W141">
        <f t="shared" si="4"/>
        <v>1.0002737128670753</v>
      </c>
      <c r="X141">
        <f t="shared" si="5"/>
        <v>1.0088707166913005</v>
      </c>
    </row>
    <row r="142" spans="1:24" ht="12.75">
      <c r="A142" s="16">
        <v>41235</v>
      </c>
      <c r="B142">
        <v>8.3</v>
      </c>
      <c r="D142" s="16">
        <v>41235</v>
      </c>
      <c r="E142">
        <v>8.03</v>
      </c>
      <c r="G142" s="16">
        <v>41235</v>
      </c>
      <c r="H142">
        <v>7.35</v>
      </c>
      <c r="J142" s="16">
        <v>41235</v>
      </c>
      <c r="K142">
        <v>7.66</v>
      </c>
      <c r="M142" s="16">
        <v>41233</v>
      </c>
      <c r="N142">
        <v>7.01</v>
      </c>
      <c r="P142" s="16">
        <v>41233</v>
      </c>
      <c r="Q142">
        <v>7.14</v>
      </c>
      <c r="R142">
        <f t="shared" si="6"/>
        <v>-2</v>
      </c>
      <c r="T142">
        <f t="shared" si="2"/>
        <v>1.0002688936932504</v>
      </c>
      <c r="U142">
        <f t="shared" si="3"/>
        <v>1.00908332453962</v>
      </c>
      <c r="W142">
        <f t="shared" si="4"/>
        <v>1.0002737128670753</v>
      </c>
      <c r="X142">
        <f t="shared" si="5"/>
        <v>1.0091468575876743</v>
      </c>
    </row>
    <row r="143" spans="1:24" ht="12.75">
      <c r="A143" s="16">
        <v>41236</v>
      </c>
      <c r="B143">
        <v>8.24</v>
      </c>
      <c r="D143" s="16">
        <v>41236</v>
      </c>
      <c r="E143">
        <v>7.97</v>
      </c>
      <c r="G143" s="16">
        <v>41236</v>
      </c>
      <c r="H143">
        <v>7.33</v>
      </c>
      <c r="J143" s="16">
        <v>41236</v>
      </c>
      <c r="K143">
        <v>7.62</v>
      </c>
      <c r="M143" s="16">
        <v>41234</v>
      </c>
      <c r="N143">
        <v>6.99</v>
      </c>
      <c r="P143" s="16">
        <v>41234</v>
      </c>
      <c r="Q143">
        <v>7.14</v>
      </c>
      <c r="R143">
        <f t="shared" si="6"/>
        <v>-2</v>
      </c>
      <c r="T143">
        <f t="shared" si="2"/>
        <v>1.0002681517643632</v>
      </c>
      <c r="U143">
        <f t="shared" si="3"/>
        <v>1.0093546606815529</v>
      </c>
      <c r="W143">
        <f t="shared" si="4"/>
        <v>1.0002737128670753</v>
      </c>
      <c r="X143">
        <f t="shared" si="5"/>
        <v>1.0094230740673646</v>
      </c>
    </row>
    <row r="144" spans="1:24" ht="12.75">
      <c r="A144" s="16">
        <v>41239</v>
      </c>
      <c r="B144">
        <v>8.2</v>
      </c>
      <c r="D144" s="16">
        <v>41239</v>
      </c>
      <c r="E144">
        <v>7.93</v>
      </c>
      <c r="G144" s="16">
        <v>41239</v>
      </c>
      <c r="H144">
        <v>7.33</v>
      </c>
      <c r="J144" s="16">
        <v>41239</v>
      </c>
      <c r="K144">
        <v>7.59</v>
      </c>
      <c r="M144" s="16">
        <v>41235</v>
      </c>
      <c r="N144">
        <v>7.09</v>
      </c>
      <c r="P144" s="16">
        <v>41235</v>
      </c>
      <c r="Q144">
        <v>7.14</v>
      </c>
      <c r="R144">
        <f t="shared" si="6"/>
        <v>-4</v>
      </c>
      <c r="T144">
        <f t="shared" si="2"/>
        <v>1.0002718600282916</v>
      </c>
      <c r="U144">
        <f t="shared" si="3"/>
        <v>1.0096253209146828</v>
      </c>
      <c r="W144">
        <f t="shared" si="4"/>
        <v>1.0002737128670753</v>
      </c>
      <c r="X144">
        <f t="shared" si="5"/>
        <v>1.0096993661510596</v>
      </c>
    </row>
    <row r="145" spans="1:24" ht="12.75">
      <c r="A145" s="16">
        <v>41240</v>
      </c>
      <c r="B145">
        <v>8.12</v>
      </c>
      <c r="D145" s="16">
        <v>41240</v>
      </c>
      <c r="E145">
        <v>7.87</v>
      </c>
      <c r="G145" s="16">
        <v>41240</v>
      </c>
      <c r="H145">
        <v>7.28</v>
      </c>
      <c r="J145" s="16">
        <v>41240</v>
      </c>
      <c r="K145">
        <v>7.54</v>
      </c>
      <c r="M145" s="16">
        <v>41236</v>
      </c>
      <c r="N145">
        <v>7.12</v>
      </c>
      <c r="P145" s="16">
        <v>41236</v>
      </c>
      <c r="Q145">
        <v>7.14</v>
      </c>
      <c r="R145">
        <f t="shared" si="6"/>
        <v>-4</v>
      </c>
      <c r="T145">
        <f t="shared" si="2"/>
        <v>1.0002729718349328</v>
      </c>
      <c r="U145">
        <f t="shared" si="3"/>
        <v>1.0098997976829907</v>
      </c>
      <c r="W145">
        <f t="shared" si="4"/>
        <v>1.0002737128670753</v>
      </c>
      <c r="X145">
        <f t="shared" si="5"/>
        <v>1.009975733859453</v>
      </c>
    </row>
    <row r="146" spans="1:24" ht="12.75">
      <c r="A146" s="16">
        <v>41241</v>
      </c>
      <c r="B146">
        <v>8.14</v>
      </c>
      <c r="D146" s="16">
        <v>41241</v>
      </c>
      <c r="E146">
        <v>7.88</v>
      </c>
      <c r="G146" s="16">
        <v>41241</v>
      </c>
      <c r="H146">
        <v>7.29</v>
      </c>
      <c r="J146" s="16">
        <v>41241</v>
      </c>
      <c r="K146">
        <v>7.54</v>
      </c>
      <c r="M146" s="16">
        <v>41239</v>
      </c>
      <c r="N146">
        <v>7.13</v>
      </c>
      <c r="P146" s="16">
        <v>41239</v>
      </c>
      <c r="Q146">
        <v>7.14</v>
      </c>
      <c r="R146">
        <f t="shared" si="6"/>
        <v>-2</v>
      </c>
      <c r="T146">
        <f t="shared" si="2"/>
        <v>1.0002733423682282</v>
      </c>
      <c r="U146">
        <f t="shared" si="3"/>
        <v>1.0101754718838625</v>
      </c>
      <c r="W146">
        <f t="shared" si="4"/>
        <v>1.0002737128670753</v>
      </c>
      <c r="X146">
        <f t="shared" si="5"/>
        <v>1.0102521772132442</v>
      </c>
    </row>
    <row r="147" spans="1:24" ht="12.75">
      <c r="A147" s="16">
        <v>41242</v>
      </c>
      <c r="B147">
        <v>8.18</v>
      </c>
      <c r="D147" s="16">
        <v>41242</v>
      </c>
      <c r="E147">
        <v>7.91</v>
      </c>
      <c r="G147" s="16">
        <v>41242</v>
      </c>
      <c r="H147">
        <v>7.31</v>
      </c>
      <c r="J147" s="16">
        <v>41242</v>
      </c>
      <c r="K147">
        <v>7.5600000000000005</v>
      </c>
      <c r="M147" s="16">
        <v>41240</v>
      </c>
      <c r="N147">
        <v>7.12</v>
      </c>
      <c r="P147" s="16">
        <v>41240</v>
      </c>
      <c r="Q147">
        <v>7.14</v>
      </c>
      <c r="R147">
        <f t="shared" si="6"/>
        <v>-2</v>
      </c>
      <c r="T147">
        <f t="shared" si="2"/>
        <v>1.0002729718349328</v>
      </c>
      <c r="U147">
        <f t="shared" si="3"/>
        <v>1.0104515956396731</v>
      </c>
      <c r="W147">
        <f t="shared" si="4"/>
        <v>1.0002737128670753</v>
      </c>
      <c r="X147">
        <f t="shared" si="5"/>
        <v>1.0105286962331383</v>
      </c>
    </row>
    <row r="148" spans="1:24" ht="12.75">
      <c r="A148" s="16">
        <v>41243</v>
      </c>
      <c r="B148">
        <v>8.11</v>
      </c>
      <c r="D148" s="16">
        <v>41243</v>
      </c>
      <c r="E148">
        <v>7.83</v>
      </c>
      <c r="G148" s="16">
        <v>41243</v>
      </c>
      <c r="H148">
        <v>7.21</v>
      </c>
      <c r="J148" s="16">
        <v>41243</v>
      </c>
      <c r="K148">
        <v>7.45</v>
      </c>
      <c r="M148" s="16">
        <v>41241</v>
      </c>
      <c r="N148">
        <v>7.11</v>
      </c>
      <c r="P148" s="16">
        <v>41241</v>
      </c>
      <c r="Q148">
        <v>7.14</v>
      </c>
      <c r="R148">
        <f t="shared" si="6"/>
        <v>-2</v>
      </c>
      <c r="T148">
        <f t="shared" si="2"/>
        <v>1.0002726012671825</v>
      </c>
      <c r="U148">
        <f t="shared" si="3"/>
        <v>1.0107274204658456</v>
      </c>
      <c r="W148">
        <f t="shared" si="4"/>
        <v>1.0002737128670753</v>
      </c>
      <c r="X148">
        <f t="shared" si="5"/>
        <v>1.0108052909398462</v>
      </c>
    </row>
    <row r="149" spans="1:24" ht="12.75">
      <c r="A149" s="16">
        <v>41246</v>
      </c>
      <c r="B149">
        <v>8.06</v>
      </c>
      <c r="D149" s="16">
        <v>41246</v>
      </c>
      <c r="E149">
        <v>7.76</v>
      </c>
      <c r="G149" s="16">
        <v>41246</v>
      </c>
      <c r="H149">
        <v>7.17</v>
      </c>
      <c r="J149" s="16">
        <v>41246</v>
      </c>
      <c r="K149">
        <v>7.4</v>
      </c>
      <c r="M149" s="16">
        <v>41242</v>
      </c>
      <c r="N149">
        <v>7.07</v>
      </c>
      <c r="P149" s="16">
        <v>41242</v>
      </c>
      <c r="Q149">
        <v>7.14</v>
      </c>
      <c r="R149">
        <f t="shared" si="6"/>
        <v>-4</v>
      </c>
      <c r="T149">
        <f t="shared" si="2"/>
        <v>1.0002711186515045</v>
      </c>
      <c r="U149">
        <f t="shared" si="3"/>
        <v>1.0110029460414407</v>
      </c>
      <c r="W149">
        <f t="shared" si="4"/>
        <v>1.0002737128670753</v>
      </c>
      <c r="X149">
        <f t="shared" si="5"/>
        <v>1.0110819613540842</v>
      </c>
    </row>
    <row r="150" spans="1:24" ht="12.75">
      <c r="A150" s="16">
        <v>41247</v>
      </c>
      <c r="B150">
        <v>7.86</v>
      </c>
      <c r="D150" s="16">
        <v>41247</v>
      </c>
      <c r="E150">
        <v>7.6</v>
      </c>
      <c r="G150" s="16">
        <v>41247</v>
      </c>
      <c r="H150">
        <v>7.09</v>
      </c>
      <c r="J150" s="16">
        <v>41247</v>
      </c>
      <c r="K150">
        <v>7.27</v>
      </c>
      <c r="M150" s="16">
        <v>41243</v>
      </c>
      <c r="N150">
        <v>7.06</v>
      </c>
      <c r="P150" s="16">
        <v>41243</v>
      </c>
      <c r="Q150">
        <v>7.14</v>
      </c>
      <c r="R150">
        <f t="shared" si="6"/>
        <v>-4</v>
      </c>
      <c r="T150">
        <f t="shared" si="2"/>
        <v>1.0002707479113837</v>
      </c>
      <c r="U150">
        <f t="shared" si="3"/>
        <v>1.0112770477968385</v>
      </c>
      <c r="W150">
        <f t="shared" si="4"/>
        <v>1.0002737128670753</v>
      </c>
      <c r="X150">
        <f t="shared" si="5"/>
        <v>1.0113587074965746</v>
      </c>
    </row>
    <row r="151" spans="1:24" ht="12.75">
      <c r="A151" s="16">
        <v>41248</v>
      </c>
      <c r="B151">
        <v>7.87</v>
      </c>
      <c r="D151" s="16">
        <v>41248</v>
      </c>
      <c r="E151">
        <v>7.59</v>
      </c>
      <c r="G151" s="16">
        <v>41248</v>
      </c>
      <c r="H151">
        <v>7.1</v>
      </c>
      <c r="J151" s="16">
        <v>41248</v>
      </c>
      <c r="K151">
        <v>7.27</v>
      </c>
      <c r="M151" s="16">
        <v>41246</v>
      </c>
      <c r="N151">
        <v>7.07</v>
      </c>
      <c r="P151" s="16">
        <v>41246</v>
      </c>
      <c r="Q151">
        <v>7.14</v>
      </c>
      <c r="R151">
        <f t="shared" si="6"/>
        <v>-2</v>
      </c>
      <c r="T151">
        <f t="shared" si="2"/>
        <v>1.0002711186515045</v>
      </c>
      <c r="U151">
        <f t="shared" si="3"/>
        <v>1.0115508489453597</v>
      </c>
      <c r="W151">
        <f t="shared" si="4"/>
        <v>1.0002737128670753</v>
      </c>
      <c r="X151">
        <f t="shared" si="5"/>
        <v>1.0116355293880452</v>
      </c>
    </row>
    <row r="152" spans="1:24" ht="12.75">
      <c r="A152" s="16">
        <v>41249</v>
      </c>
      <c r="B152">
        <v>7.68</v>
      </c>
      <c r="D152" s="16">
        <v>41249</v>
      </c>
      <c r="E152">
        <v>7.38</v>
      </c>
      <c r="G152" s="16">
        <v>41249</v>
      </c>
      <c r="H152">
        <v>6.87</v>
      </c>
      <c r="J152" s="16">
        <v>41249</v>
      </c>
      <c r="K152">
        <v>7.02</v>
      </c>
      <c r="M152" s="16">
        <v>41247</v>
      </c>
      <c r="N152">
        <v>7.07</v>
      </c>
      <c r="P152" s="16">
        <v>41247</v>
      </c>
      <c r="Q152">
        <v>7.14</v>
      </c>
      <c r="R152">
        <f t="shared" si="6"/>
        <v>-2</v>
      </c>
      <c r="T152">
        <f t="shared" si="2"/>
        <v>1.0002711186515045</v>
      </c>
      <c r="U152">
        <f t="shared" si="3"/>
        <v>1.011825099247454</v>
      </c>
      <c r="W152">
        <f t="shared" si="4"/>
        <v>1.0002737128670753</v>
      </c>
      <c r="X152">
        <f t="shared" si="5"/>
        <v>1.0119124270492292</v>
      </c>
    </row>
    <row r="153" spans="1:24" ht="12.75">
      <c r="A153" s="16">
        <v>41250</v>
      </c>
      <c r="B153">
        <v>7.79</v>
      </c>
      <c r="D153" s="16">
        <v>41250</v>
      </c>
      <c r="E153">
        <v>7.52</v>
      </c>
      <c r="G153" s="16">
        <v>41250</v>
      </c>
      <c r="H153">
        <v>7</v>
      </c>
      <c r="J153" s="16">
        <v>41250</v>
      </c>
      <c r="K153">
        <v>7.15</v>
      </c>
      <c r="M153" s="16">
        <v>41248</v>
      </c>
      <c r="N153">
        <v>7.06</v>
      </c>
      <c r="P153" s="16">
        <v>41248</v>
      </c>
      <c r="Q153">
        <v>7.14</v>
      </c>
      <c r="R153">
        <f t="shared" si="6"/>
        <v>-2</v>
      </c>
      <c r="T153">
        <f t="shared" si="2"/>
        <v>1.0002707479113837</v>
      </c>
      <c r="U153">
        <f t="shared" si="3"/>
        <v>1.0120994239039205</v>
      </c>
      <c r="W153">
        <f t="shared" si="4"/>
        <v>1.0002737128670753</v>
      </c>
      <c r="X153">
        <f t="shared" si="5"/>
        <v>1.012189400500866</v>
      </c>
    </row>
    <row r="154" spans="1:24" ht="12.75">
      <c r="A154" s="16">
        <v>41253</v>
      </c>
      <c r="B154">
        <v>7.87</v>
      </c>
      <c r="D154" s="16">
        <v>41253</v>
      </c>
      <c r="E154">
        <v>7.59</v>
      </c>
      <c r="G154" s="16">
        <v>41253</v>
      </c>
      <c r="H154">
        <v>7.05</v>
      </c>
      <c r="J154" s="16">
        <v>41253</v>
      </c>
      <c r="K154">
        <v>7.22</v>
      </c>
      <c r="M154" s="16">
        <v>41249</v>
      </c>
      <c r="N154">
        <v>7.05</v>
      </c>
      <c r="P154" s="16">
        <v>41249</v>
      </c>
      <c r="Q154">
        <v>7.14</v>
      </c>
      <c r="R154">
        <f t="shared" si="6"/>
        <v>-4</v>
      </c>
      <c r="T154">
        <f t="shared" si="2"/>
        <v>1.0002703771367696</v>
      </c>
      <c r="U154">
        <f t="shared" si="3"/>
        <v>1.0123734477090551</v>
      </c>
      <c r="W154">
        <f t="shared" si="4"/>
        <v>1.0002737128670753</v>
      </c>
      <c r="X154">
        <f t="shared" si="5"/>
        <v>1.0124664497637004</v>
      </c>
    </row>
    <row r="155" spans="1:24" ht="12.75">
      <c r="A155" s="16">
        <v>41254</v>
      </c>
      <c r="B155">
        <v>7.9399999999999995</v>
      </c>
      <c r="D155" s="16">
        <v>41254</v>
      </c>
      <c r="E155">
        <v>7.65</v>
      </c>
      <c r="G155" s="16">
        <v>41254</v>
      </c>
      <c r="H155">
        <v>7.1</v>
      </c>
      <c r="J155" s="16">
        <v>41254</v>
      </c>
      <c r="K155">
        <v>7.28</v>
      </c>
      <c r="M155" s="16">
        <v>41250</v>
      </c>
      <c r="N155">
        <v>7.04</v>
      </c>
      <c r="P155" s="16">
        <v>41250</v>
      </c>
      <c r="Q155">
        <v>7.14</v>
      </c>
      <c r="R155">
        <f t="shared" si="6"/>
        <v>-4</v>
      </c>
      <c r="T155">
        <f t="shared" si="2"/>
        <v>1.0002700063276555</v>
      </c>
      <c r="U155">
        <f t="shared" si="3"/>
        <v>1.0126471703431883</v>
      </c>
      <c r="W155">
        <f t="shared" si="4"/>
        <v>1.0002737128670753</v>
      </c>
      <c r="X155">
        <f t="shared" si="5"/>
        <v>1.0127435748584828</v>
      </c>
    </row>
    <row r="156" spans="1:24" ht="12.75">
      <c r="A156" s="16">
        <v>41255</v>
      </c>
      <c r="B156">
        <v>7.86</v>
      </c>
      <c r="D156" s="16">
        <v>41255</v>
      </c>
      <c r="E156">
        <v>7.6</v>
      </c>
      <c r="G156" s="16">
        <v>41255</v>
      </c>
      <c r="H156">
        <v>7.08</v>
      </c>
      <c r="J156" s="16">
        <v>41255</v>
      </c>
      <c r="K156">
        <v>7.25</v>
      </c>
      <c r="M156" s="16">
        <v>41253</v>
      </c>
      <c r="N156">
        <v>7.01</v>
      </c>
      <c r="P156" s="16">
        <v>41253</v>
      </c>
      <c r="Q156">
        <v>7.14</v>
      </c>
      <c r="R156">
        <f t="shared" si="6"/>
        <v>-2</v>
      </c>
      <c r="T156">
        <f t="shared" si="2"/>
        <v>1.0002688936932504</v>
      </c>
      <c r="U156">
        <f t="shared" si="3"/>
        <v>1.0129205914868633</v>
      </c>
      <c r="W156">
        <f t="shared" si="4"/>
        <v>1.0002737128670753</v>
      </c>
      <c r="X156">
        <f t="shared" si="5"/>
        <v>1.0130207758059695</v>
      </c>
    </row>
    <row r="157" spans="1:24" ht="12.75">
      <c r="A157" s="16">
        <v>41256</v>
      </c>
      <c r="B157">
        <v>7.83</v>
      </c>
      <c r="D157" s="16">
        <v>41256</v>
      </c>
      <c r="E157">
        <v>7.5600000000000005</v>
      </c>
      <c r="G157" s="16">
        <v>41256</v>
      </c>
      <c r="H157">
        <v>7.06</v>
      </c>
      <c r="J157" s="16">
        <v>41256</v>
      </c>
      <c r="K157">
        <v>7.21</v>
      </c>
      <c r="M157" s="16">
        <v>41254</v>
      </c>
      <c r="N157">
        <v>6.97</v>
      </c>
      <c r="P157" s="16">
        <v>41254</v>
      </c>
      <c r="Q157">
        <v>7.13</v>
      </c>
      <c r="R157">
        <f t="shared" si="6"/>
        <v>-2</v>
      </c>
      <c r="T157">
        <f t="shared" si="2"/>
        <v>1.0002674096973225</v>
      </c>
      <c r="U157">
        <f t="shared" si="3"/>
        <v>1.0131929594456777</v>
      </c>
      <c r="W157">
        <f t="shared" si="4"/>
        <v>1.0002733423682282</v>
      </c>
      <c r="X157">
        <f t="shared" si="5"/>
        <v>1.0132980526269222</v>
      </c>
    </row>
    <row r="158" spans="1:24" ht="12.75">
      <c r="A158" s="16">
        <v>41257</v>
      </c>
      <c r="B158">
        <v>7.88</v>
      </c>
      <c r="D158" s="16">
        <v>41257</v>
      </c>
      <c r="E158">
        <v>7.63</v>
      </c>
      <c r="G158" s="16">
        <v>41257</v>
      </c>
      <c r="H158">
        <v>7.09</v>
      </c>
      <c r="J158" s="16">
        <v>41257</v>
      </c>
      <c r="K158">
        <v>7.25</v>
      </c>
      <c r="M158" s="16">
        <v>41255</v>
      </c>
      <c r="N158">
        <v>6.97</v>
      </c>
      <c r="P158" s="16">
        <v>41255</v>
      </c>
      <c r="Q158">
        <v>7.13</v>
      </c>
      <c r="R158">
        <f t="shared" si="6"/>
        <v>-2</v>
      </c>
      <c r="T158">
        <f t="shared" si="2"/>
        <v>1.0002674096973225</v>
      </c>
      <c r="U158">
        <f t="shared" si="3"/>
        <v>1.0134638970682923</v>
      </c>
      <c r="W158">
        <f t="shared" si="4"/>
        <v>1.0002733423682282</v>
      </c>
      <c r="X158">
        <f t="shared" si="5"/>
        <v>1.0135750299163482</v>
      </c>
    </row>
    <row r="159" spans="1:24" ht="12.75">
      <c r="A159" s="16">
        <v>41260</v>
      </c>
      <c r="B159">
        <v>7.89</v>
      </c>
      <c r="D159" s="16">
        <v>41260</v>
      </c>
      <c r="E159">
        <v>7.62</v>
      </c>
      <c r="G159" s="16">
        <v>41260</v>
      </c>
      <c r="H159">
        <v>7.08</v>
      </c>
      <c r="J159" s="16">
        <v>41260</v>
      </c>
      <c r="K159">
        <v>7.25</v>
      </c>
      <c r="M159" s="16">
        <v>41256</v>
      </c>
      <c r="N159">
        <v>6.95</v>
      </c>
      <c r="P159" s="16">
        <v>41256</v>
      </c>
      <c r="Q159">
        <v>7.13</v>
      </c>
      <c r="R159">
        <f t="shared" si="6"/>
        <v>-4</v>
      </c>
      <c r="T159">
        <f t="shared" si="2"/>
        <v>1.0002666674920762</v>
      </c>
      <c r="U159">
        <f t="shared" si="3"/>
        <v>1.0137349071422546</v>
      </c>
      <c r="W159">
        <f t="shared" si="4"/>
        <v>1.0002733423682282</v>
      </c>
      <c r="X159">
        <f t="shared" si="5"/>
        <v>1.0138520829154025</v>
      </c>
    </row>
    <row r="160" spans="1:24" ht="12.75">
      <c r="A160" s="16">
        <v>41261</v>
      </c>
      <c r="B160">
        <v>7.92</v>
      </c>
      <c r="D160" s="16">
        <v>41261</v>
      </c>
      <c r="E160">
        <v>7.65</v>
      </c>
      <c r="G160" s="16">
        <v>41261</v>
      </c>
      <c r="H160">
        <v>7.08</v>
      </c>
      <c r="J160" s="16">
        <v>41261</v>
      </c>
      <c r="K160">
        <v>7.27</v>
      </c>
      <c r="M160" s="16">
        <v>41257</v>
      </c>
      <c r="N160">
        <v>6.9</v>
      </c>
      <c r="P160" s="16">
        <v>41257</v>
      </c>
      <c r="Q160">
        <v>7.12</v>
      </c>
      <c r="R160">
        <f t="shared" si="6"/>
        <v>-4</v>
      </c>
      <c r="T160">
        <f t="shared" si="2"/>
        <v>1.0002648113739738</v>
      </c>
      <c r="U160">
        <f t="shared" si="3"/>
        <v>1.0140052372875723</v>
      </c>
      <c r="W160">
        <f t="shared" si="4"/>
        <v>1.0002729718349328</v>
      </c>
      <c r="X160">
        <f t="shared" si="5"/>
        <v>1.0141292116447798</v>
      </c>
    </row>
    <row r="161" spans="1:24" ht="12.75">
      <c r="A161" s="16">
        <v>41262</v>
      </c>
      <c r="B161">
        <v>7.96</v>
      </c>
      <c r="D161" s="16">
        <v>41262</v>
      </c>
      <c r="E161">
        <v>7.6899999999999995</v>
      </c>
      <c r="G161" s="16">
        <v>41262</v>
      </c>
      <c r="H161">
        <v>7.08</v>
      </c>
      <c r="J161" s="16">
        <v>41262</v>
      </c>
      <c r="K161">
        <v>7.29</v>
      </c>
      <c r="M161" s="16">
        <v>41260</v>
      </c>
      <c r="N161">
        <v>6.89</v>
      </c>
      <c r="P161" s="16">
        <v>41260</v>
      </c>
      <c r="Q161">
        <v>7.12</v>
      </c>
      <c r="R161">
        <f t="shared" si="6"/>
        <v>-2</v>
      </c>
      <c r="T161">
        <f t="shared" si="2"/>
        <v>1.0002644400465897</v>
      </c>
      <c r="U161">
        <f t="shared" si="3"/>
        <v>1.014273757407675</v>
      </c>
      <c r="W161">
        <f t="shared" si="4"/>
        <v>1.0002729718349328</v>
      </c>
      <c r="X161">
        <f t="shared" si="5"/>
        <v>1.0144060403565414</v>
      </c>
    </row>
    <row r="162" spans="1:24" ht="12.75">
      <c r="A162" s="16">
        <v>41263</v>
      </c>
      <c r="B162">
        <v>8.07</v>
      </c>
      <c r="D162" s="16">
        <v>41263</v>
      </c>
      <c r="E162">
        <v>7.82</v>
      </c>
      <c r="G162" s="16">
        <v>41263</v>
      </c>
      <c r="H162">
        <v>7.14</v>
      </c>
      <c r="J162" s="16">
        <v>41263</v>
      </c>
      <c r="K162">
        <v>7.38</v>
      </c>
      <c r="M162" s="16">
        <v>41261</v>
      </c>
      <c r="N162">
        <v>6.87</v>
      </c>
      <c r="P162" s="16">
        <v>41261</v>
      </c>
      <c r="Q162">
        <v>7.11</v>
      </c>
      <c r="R162">
        <f t="shared" si="6"/>
        <v>-2</v>
      </c>
      <c r="T162">
        <f t="shared" si="2"/>
        <v>1.000263697288006</v>
      </c>
      <c r="U162">
        <f t="shared" si="3"/>
        <v>1.0145419720073385</v>
      </c>
      <c r="W162">
        <f t="shared" si="4"/>
        <v>1.0002726012671825</v>
      </c>
      <c r="X162">
        <f t="shared" si="5"/>
        <v>1.0146829446347445</v>
      </c>
    </row>
    <row r="163" spans="1:24" ht="12.75">
      <c r="A163" s="16">
        <v>41264</v>
      </c>
      <c r="B163">
        <v>8.08</v>
      </c>
      <c r="D163" s="16">
        <v>41264</v>
      </c>
      <c r="E163">
        <v>7.85</v>
      </c>
      <c r="G163" s="16">
        <v>41264</v>
      </c>
      <c r="H163">
        <v>7.17</v>
      </c>
      <c r="J163" s="16">
        <v>41264</v>
      </c>
      <c r="K163">
        <v>7.42</v>
      </c>
      <c r="M163" s="16">
        <v>41262</v>
      </c>
      <c r="N163">
        <v>6.84</v>
      </c>
      <c r="P163" s="16">
        <v>41262</v>
      </c>
      <c r="Q163">
        <v>7.11</v>
      </c>
      <c r="R163">
        <f t="shared" si="6"/>
        <v>-2</v>
      </c>
      <c r="T163">
        <f t="shared" si="2"/>
        <v>1.000262582890495</v>
      </c>
      <c r="U163">
        <f t="shared" si="3"/>
        <v>1.014809503973925</v>
      </c>
      <c r="W163">
        <f t="shared" si="4"/>
        <v>1.0002726012671825</v>
      </c>
      <c r="X163">
        <f t="shared" si="5"/>
        <v>1.0149595484912404</v>
      </c>
    </row>
    <row r="164" spans="1:24" ht="12.75">
      <c r="A164" s="16">
        <v>41269</v>
      </c>
      <c r="B164">
        <v>8.036</v>
      </c>
      <c r="D164" s="16">
        <v>41269</v>
      </c>
      <c r="E164">
        <v>7.78</v>
      </c>
      <c r="G164" s="16">
        <v>41269</v>
      </c>
      <c r="H164">
        <v>7.14</v>
      </c>
      <c r="J164" s="16">
        <v>41269</v>
      </c>
      <c r="K164">
        <v>7.36</v>
      </c>
      <c r="M164" s="16">
        <v>41263</v>
      </c>
      <c r="N164">
        <v>6.85</v>
      </c>
      <c r="P164" s="16">
        <v>41263</v>
      </c>
      <c r="Q164">
        <v>7.11</v>
      </c>
      <c r="R164">
        <f t="shared" si="6"/>
        <v>-6</v>
      </c>
      <c r="T164">
        <f t="shared" si="2"/>
        <v>1.0002629543909585</v>
      </c>
      <c r="U164">
        <f t="shared" si="3"/>
        <v>1.0150759755867804</v>
      </c>
      <c r="W164">
        <f t="shared" si="4"/>
        <v>1.0002726012671825</v>
      </c>
      <c r="X164">
        <f t="shared" si="5"/>
        <v>1.0152362277502982</v>
      </c>
    </row>
    <row r="165" spans="1:24" ht="12.75">
      <c r="A165" s="16">
        <v>41270</v>
      </c>
      <c r="B165">
        <v>7.98</v>
      </c>
      <c r="D165" s="16">
        <v>41270</v>
      </c>
      <c r="E165">
        <v>7.73</v>
      </c>
      <c r="G165" s="16">
        <v>41270</v>
      </c>
      <c r="H165">
        <v>7.13</v>
      </c>
      <c r="J165" s="16">
        <v>41270</v>
      </c>
      <c r="K165">
        <v>7.32</v>
      </c>
      <c r="M165" s="16">
        <v>41264</v>
      </c>
      <c r="N165">
        <v>6.87</v>
      </c>
      <c r="P165" s="16">
        <v>41264</v>
      </c>
      <c r="Q165">
        <v>7.11</v>
      </c>
      <c r="R165">
        <f t="shared" si="6"/>
        <v>-6</v>
      </c>
      <c r="T165">
        <f t="shared" si="2"/>
        <v>1.000263697288006</v>
      </c>
      <c r="U165">
        <f t="shared" si="3"/>
        <v>1.0153428942717173</v>
      </c>
      <c r="W165">
        <f t="shared" si="4"/>
        <v>1.0002726012671825</v>
      </c>
      <c r="X165">
        <f t="shared" si="5"/>
        <v>1.0155129824324725</v>
      </c>
    </row>
    <row r="166" spans="1:24" ht="12.75">
      <c r="A166" s="16">
        <v>41271</v>
      </c>
      <c r="B166">
        <v>7.98</v>
      </c>
      <c r="D166" s="16">
        <v>41271</v>
      </c>
      <c r="E166">
        <v>7.71</v>
      </c>
      <c r="G166" s="16">
        <v>41271</v>
      </c>
      <c r="H166">
        <v>7.14</v>
      </c>
      <c r="J166" s="16">
        <v>41271</v>
      </c>
      <c r="K166">
        <v>7.34</v>
      </c>
      <c r="M166" s="16">
        <v>41267</v>
      </c>
      <c r="N166">
        <v>6.87</v>
      </c>
      <c r="P166" s="16">
        <v>41267</v>
      </c>
      <c r="Q166">
        <v>7.19</v>
      </c>
      <c r="R166">
        <f t="shared" si="6"/>
        <v>-4</v>
      </c>
      <c r="T166">
        <f t="shared" si="2"/>
        <v>1.000263697288006</v>
      </c>
      <c r="U166">
        <f t="shared" si="3"/>
        <v>1.0156106374393328</v>
      </c>
      <c r="W166">
        <f t="shared" si="4"/>
        <v>1.0002755648448092</v>
      </c>
      <c r="X166">
        <f t="shared" si="5"/>
        <v>1.0157898125583238</v>
      </c>
    </row>
    <row r="167" spans="1:24" ht="12.75">
      <c r="A167" s="16">
        <v>41276</v>
      </c>
      <c r="B167">
        <v>7.95</v>
      </c>
      <c r="D167" s="16">
        <v>41276</v>
      </c>
      <c r="E167">
        <v>7.73</v>
      </c>
      <c r="G167" s="16">
        <v>41276</v>
      </c>
      <c r="H167">
        <v>7.1</v>
      </c>
      <c r="J167" s="16">
        <v>41276</v>
      </c>
      <c r="K167">
        <v>7.31</v>
      </c>
      <c r="M167" s="16">
        <v>41269</v>
      </c>
      <c r="N167">
        <v>6.9</v>
      </c>
      <c r="P167" s="16">
        <v>41269</v>
      </c>
      <c r="Q167">
        <v>7.24</v>
      </c>
      <c r="R167">
        <f t="shared" si="6"/>
        <v>-7</v>
      </c>
      <c r="T167">
        <f t="shared" si="2"/>
        <v>1.0002648113739738</v>
      </c>
      <c r="U167">
        <f t="shared" si="3"/>
        <v>1.0158784512100956</v>
      </c>
      <c r="W167">
        <f t="shared" si="4"/>
        <v>1.0002774159622947</v>
      </c>
      <c r="X167">
        <f t="shared" si="5"/>
        <v>1.0160697285203801</v>
      </c>
    </row>
    <row r="168" spans="1:24" ht="12.75">
      <c r="A168" s="16">
        <v>41277</v>
      </c>
      <c r="B168">
        <v>7.937</v>
      </c>
      <c r="D168" s="16">
        <v>41277</v>
      </c>
      <c r="E168">
        <v>7.7</v>
      </c>
      <c r="G168" s="16">
        <v>41277</v>
      </c>
      <c r="H168">
        <v>7.11</v>
      </c>
      <c r="J168" s="16">
        <v>41277</v>
      </c>
      <c r="K168">
        <v>7.31</v>
      </c>
      <c r="M168" s="16">
        <v>41270</v>
      </c>
      <c r="N168">
        <v>6.9</v>
      </c>
      <c r="P168" s="16">
        <v>41270</v>
      </c>
      <c r="Q168">
        <v>7.25</v>
      </c>
      <c r="R168">
        <f t="shared" si="6"/>
        <v>-7</v>
      </c>
      <c r="T168">
        <f t="shared" si="2"/>
        <v>1.0002648113739738</v>
      </c>
      <c r="U168">
        <f t="shared" si="3"/>
        <v>1.0161474673785509</v>
      </c>
      <c r="W168">
        <f t="shared" si="4"/>
        <v>1.0002777860826326</v>
      </c>
      <c r="X168">
        <f t="shared" si="5"/>
        <v>1.0163516024818762</v>
      </c>
    </row>
    <row r="169" spans="1:24" ht="12.75">
      <c r="A169" s="16">
        <v>41278</v>
      </c>
      <c r="B169">
        <v>7.98</v>
      </c>
      <c r="D169" s="16">
        <v>41278</v>
      </c>
      <c r="E169">
        <v>7.74</v>
      </c>
      <c r="G169" s="16">
        <v>41278</v>
      </c>
      <c r="H169">
        <v>7.13</v>
      </c>
      <c r="J169" s="16">
        <v>41278</v>
      </c>
      <c r="K169">
        <v>7.34</v>
      </c>
      <c r="M169" s="16">
        <v>41271</v>
      </c>
      <c r="N169">
        <v>6.9</v>
      </c>
      <c r="P169" s="16">
        <v>41271</v>
      </c>
      <c r="Q169">
        <v>7.27</v>
      </c>
      <c r="R169">
        <f t="shared" si="6"/>
        <v>-7</v>
      </c>
      <c r="T169">
        <f t="shared" si="2"/>
        <v>1.0002648113739738</v>
      </c>
      <c r="U169">
        <f t="shared" si="3"/>
        <v>1.0164165547855475</v>
      </c>
      <c r="W169">
        <f t="shared" si="4"/>
        <v>1.0002785262202</v>
      </c>
      <c r="X169">
        <f t="shared" si="5"/>
        <v>1.016633930812107</v>
      </c>
    </row>
    <row r="170" spans="1:24" ht="12.75">
      <c r="A170" s="16">
        <v>41281</v>
      </c>
      <c r="B170">
        <v>7.96</v>
      </c>
      <c r="D170" s="16">
        <v>41281</v>
      </c>
      <c r="E170">
        <v>7.7</v>
      </c>
      <c r="G170" s="16">
        <v>41281</v>
      </c>
      <c r="H170">
        <v>7.12</v>
      </c>
      <c r="J170" s="16">
        <v>41281</v>
      </c>
      <c r="K170">
        <v>7.31</v>
      </c>
      <c r="M170" s="16">
        <v>41274</v>
      </c>
      <c r="N170">
        <v>6.9</v>
      </c>
      <c r="P170" s="16">
        <v>41274</v>
      </c>
      <c r="Q170">
        <v>7.29</v>
      </c>
      <c r="R170">
        <f t="shared" si="6"/>
        <v>-7</v>
      </c>
      <c r="T170">
        <f t="shared" si="2"/>
        <v>1.0002648113739738</v>
      </c>
      <c r="U170">
        <f t="shared" si="3"/>
        <v>1.01668571344995</v>
      </c>
      <c r="W170">
        <f t="shared" si="4"/>
        <v>1.0002792662203326</v>
      </c>
      <c r="X170">
        <f t="shared" si="5"/>
        <v>1.0169170900181834</v>
      </c>
    </row>
    <row r="171" spans="1:29" ht="12.75">
      <c r="A171" s="16">
        <v>41282</v>
      </c>
      <c r="B171">
        <v>8.06</v>
      </c>
      <c r="D171" s="16">
        <v>41282</v>
      </c>
      <c r="E171">
        <v>7.79</v>
      </c>
      <c r="G171" s="16">
        <v>41282</v>
      </c>
      <c r="H171">
        <v>7.16</v>
      </c>
      <c r="J171" s="16">
        <v>41282</v>
      </c>
      <c r="K171">
        <v>7.38</v>
      </c>
      <c r="M171" s="16">
        <v>41276</v>
      </c>
      <c r="N171">
        <v>6.92</v>
      </c>
      <c r="P171" s="16">
        <v>41276</v>
      </c>
      <c r="Q171">
        <v>7.11</v>
      </c>
      <c r="R171">
        <f t="shared" si="6"/>
        <v>-6</v>
      </c>
      <c r="T171">
        <f t="shared" si="2"/>
        <v>1.000265553924959</v>
      </c>
      <c r="U171" s="296">
        <f t="shared" si="3"/>
        <v>1.0169549433906284</v>
      </c>
      <c r="W171">
        <f t="shared" si="4"/>
        <v>1.0002726012671825</v>
      </c>
      <c r="X171" s="296">
        <f t="shared" si="5"/>
        <v>1.0172010806103045</v>
      </c>
      <c r="Z171">
        <f>U171^(252/62)-1</f>
        <v>0.07072495610687102</v>
      </c>
      <c r="AC171">
        <f>X171^(252/62)-1</f>
        <v>0.07177867171670727</v>
      </c>
    </row>
    <row r="172" spans="1:24" ht="12.75">
      <c r="A172" s="16">
        <v>41283</v>
      </c>
      <c r="B172">
        <v>8.02</v>
      </c>
      <c r="D172" s="16">
        <v>41283</v>
      </c>
      <c r="E172">
        <v>7.77</v>
      </c>
      <c r="G172" s="16">
        <v>41283</v>
      </c>
      <c r="H172">
        <v>7.14</v>
      </c>
      <c r="J172" s="16">
        <v>41283</v>
      </c>
      <c r="K172">
        <v>7.35</v>
      </c>
      <c r="M172" s="16">
        <v>41277</v>
      </c>
      <c r="N172">
        <v>6.92</v>
      </c>
      <c r="P172" s="16">
        <v>41277</v>
      </c>
      <c r="Q172">
        <v>7.11</v>
      </c>
      <c r="R172">
        <f t="shared" si="6"/>
        <v>-6</v>
      </c>
      <c r="T172">
        <f t="shared" si="2"/>
        <v>1.000265553924959</v>
      </c>
      <c r="U172">
        <f t="shared" si="3"/>
        <v>1.0172249997673521</v>
      </c>
      <c r="W172">
        <f t="shared" si="4"/>
        <v>1.0002726012671825</v>
      </c>
      <c r="X172">
        <f t="shared" si="5"/>
        <v>1.0174783709138582</v>
      </c>
    </row>
    <row r="173" spans="1:24" ht="12.75">
      <c r="A173" s="16">
        <v>41284</v>
      </c>
      <c r="B173">
        <v>8</v>
      </c>
      <c r="D173" s="16">
        <v>41284</v>
      </c>
      <c r="E173">
        <v>7.74</v>
      </c>
      <c r="G173" s="16">
        <v>41284</v>
      </c>
      <c r="H173">
        <v>7.12</v>
      </c>
      <c r="J173" s="16">
        <v>41284</v>
      </c>
      <c r="K173">
        <v>7.32</v>
      </c>
      <c r="M173" s="16">
        <v>41278</v>
      </c>
      <c r="N173">
        <v>6.93</v>
      </c>
      <c r="P173" s="16">
        <v>41278</v>
      </c>
      <c r="Q173">
        <v>7.11</v>
      </c>
      <c r="R173">
        <f t="shared" si="6"/>
        <v>-6</v>
      </c>
      <c r="T173">
        <f t="shared" si="2"/>
        <v>1.000265925148573</v>
      </c>
      <c r="U173">
        <f t="shared" si="3"/>
        <v>1.0174951278586069</v>
      </c>
      <c r="W173">
        <f t="shared" si="4"/>
        <v>1.0002726012671825</v>
      </c>
      <c r="X173">
        <f t="shared" si="5"/>
        <v>1.0177557368071002</v>
      </c>
    </row>
    <row r="174" spans="1:24" ht="12.75">
      <c r="A174" s="16">
        <v>41285</v>
      </c>
      <c r="B174">
        <v>7.99</v>
      </c>
      <c r="D174" s="16">
        <v>41285</v>
      </c>
      <c r="E174">
        <v>7.73</v>
      </c>
      <c r="G174" s="16">
        <v>41285</v>
      </c>
      <c r="H174">
        <v>7.11</v>
      </c>
      <c r="J174" s="16">
        <v>41285</v>
      </c>
      <c r="K174">
        <v>7.32</v>
      </c>
      <c r="M174" s="16">
        <v>41281</v>
      </c>
      <c r="N174">
        <v>6.92</v>
      </c>
      <c r="P174" s="16">
        <v>41281</v>
      </c>
      <c r="Q174">
        <v>7.11</v>
      </c>
      <c r="R174">
        <f t="shared" si="6"/>
        <v>-4</v>
      </c>
      <c r="T174">
        <f aca="true" t="shared" si="7" ref="T174:T230">(1+N174/100)^(1/252)</f>
        <v>1.000265553924959</v>
      </c>
      <c r="U174">
        <f t="shared" si="3"/>
        <v>1.017765705401655</v>
      </c>
      <c r="W174">
        <f t="shared" si="4"/>
        <v>1.0002726012671825</v>
      </c>
      <c r="X174">
        <f t="shared" si="5"/>
        <v>1.018033178310636</v>
      </c>
    </row>
    <row r="175" spans="1:24" ht="12.75">
      <c r="A175" s="16">
        <v>41288</v>
      </c>
      <c r="B175">
        <v>7.96</v>
      </c>
      <c r="D175" s="16">
        <v>41288</v>
      </c>
      <c r="E175">
        <v>7.6899999999999995</v>
      </c>
      <c r="G175" s="16">
        <v>41288</v>
      </c>
      <c r="H175">
        <v>7.1</v>
      </c>
      <c r="J175" s="16">
        <v>41288</v>
      </c>
      <c r="K175">
        <v>7.31</v>
      </c>
      <c r="M175" s="16">
        <v>41282</v>
      </c>
      <c r="N175">
        <v>6.91</v>
      </c>
      <c r="P175" s="16">
        <v>41282</v>
      </c>
      <c r="Q175">
        <v>7.11</v>
      </c>
      <c r="R175">
        <f t="shared" si="6"/>
        <v>-6</v>
      </c>
      <c r="T175">
        <f t="shared" si="7"/>
        <v>1.0002651826667615</v>
      </c>
      <c r="U175">
        <f aca="true" t="shared" si="8" ref="U175:U231">U174*T174</f>
        <v>1.018035977079413</v>
      </c>
      <c r="W175">
        <f aca="true" t="shared" si="9" ref="W175:W231">(1+Q175/100)^(1/252)</f>
        <v>1.0002726012671825</v>
      </c>
      <c r="X175">
        <f aca="true" t="shared" si="10" ref="X175:X231">X174*W174</f>
        <v>1.0183106954450774</v>
      </c>
    </row>
    <row r="176" spans="1:24" ht="12.75">
      <c r="A176" s="16">
        <v>41289</v>
      </c>
      <c r="B176">
        <v>7.97</v>
      </c>
      <c r="D176" s="16">
        <v>41289</v>
      </c>
      <c r="E176">
        <v>7.71</v>
      </c>
      <c r="G176" s="16">
        <v>41289</v>
      </c>
      <c r="H176">
        <v>7.11</v>
      </c>
      <c r="J176" s="16">
        <v>41289</v>
      </c>
      <c r="K176">
        <v>7.33</v>
      </c>
      <c r="M176" s="16">
        <v>41283</v>
      </c>
      <c r="N176">
        <v>6.9</v>
      </c>
      <c r="P176" s="16">
        <v>41283</v>
      </c>
      <c r="Q176">
        <v>7.11</v>
      </c>
      <c r="R176">
        <f t="shared" si="6"/>
        <v>-6</v>
      </c>
      <c r="T176">
        <f t="shared" si="7"/>
        <v>1.0002648113739738</v>
      </c>
      <c r="U176">
        <f t="shared" si="8"/>
        <v>1.0183059425746739</v>
      </c>
      <c r="W176">
        <f t="shared" si="9"/>
        <v>1.0002726012671825</v>
      </c>
      <c r="X176">
        <f t="shared" si="10"/>
        <v>1.0185882882310413</v>
      </c>
    </row>
    <row r="177" spans="1:24" ht="12.75">
      <c r="A177" s="16">
        <v>41290</v>
      </c>
      <c r="B177">
        <v>8.01</v>
      </c>
      <c r="D177" s="16">
        <v>41290</v>
      </c>
      <c r="E177">
        <v>7.76</v>
      </c>
      <c r="G177" s="16">
        <v>41290</v>
      </c>
      <c r="H177">
        <v>7.16</v>
      </c>
      <c r="J177" s="16">
        <v>41290</v>
      </c>
      <c r="K177">
        <v>7.37</v>
      </c>
      <c r="M177" s="16">
        <v>41284</v>
      </c>
      <c r="N177">
        <v>6.91</v>
      </c>
      <c r="P177" s="16">
        <v>41284</v>
      </c>
      <c r="Q177">
        <v>7.11</v>
      </c>
      <c r="R177">
        <f t="shared" si="6"/>
        <v>-6</v>
      </c>
      <c r="T177">
        <f t="shared" si="7"/>
        <v>1.0002651826667615</v>
      </c>
      <c r="U177">
        <f t="shared" si="8"/>
        <v>1.0185756015704528</v>
      </c>
      <c r="W177">
        <f t="shared" si="9"/>
        <v>1.0002726012671825</v>
      </c>
      <c r="X177">
        <f t="shared" si="10"/>
        <v>1.0188659566891505</v>
      </c>
    </row>
    <row r="178" spans="1:24" ht="12.75">
      <c r="A178" s="16">
        <v>41291</v>
      </c>
      <c r="B178">
        <v>8.14</v>
      </c>
      <c r="D178" s="16">
        <v>41291</v>
      </c>
      <c r="E178">
        <v>7.87</v>
      </c>
      <c r="G178" s="16">
        <v>41291</v>
      </c>
      <c r="H178">
        <v>7.19</v>
      </c>
      <c r="J178" s="16">
        <v>41291</v>
      </c>
      <c r="K178">
        <v>7.47</v>
      </c>
      <c r="M178" s="16">
        <v>41285</v>
      </c>
      <c r="N178">
        <v>6.92</v>
      </c>
      <c r="P178" s="16">
        <v>41285</v>
      </c>
      <c r="Q178">
        <v>7.11</v>
      </c>
      <c r="R178">
        <f t="shared" si="6"/>
        <v>-6</v>
      </c>
      <c r="T178">
        <f t="shared" si="7"/>
        <v>1.000265553924959</v>
      </c>
      <c r="U178">
        <f t="shared" si="8"/>
        <v>1.0188457101647754</v>
      </c>
      <c r="W178">
        <f t="shared" si="9"/>
        <v>1.0002726012671825</v>
      </c>
      <c r="X178">
        <f t="shared" si="10"/>
        <v>1.019143700840033</v>
      </c>
    </row>
    <row r="179" spans="1:24" ht="12.75">
      <c r="A179" s="16">
        <v>41292</v>
      </c>
      <c r="B179">
        <v>8.18</v>
      </c>
      <c r="D179" s="16">
        <v>41292</v>
      </c>
      <c r="E179">
        <v>7.88</v>
      </c>
      <c r="G179" s="16">
        <v>41292</v>
      </c>
      <c r="H179">
        <v>7.18</v>
      </c>
      <c r="J179" s="16">
        <v>41292</v>
      </c>
      <c r="K179">
        <v>7.46</v>
      </c>
      <c r="M179" s="16">
        <v>41288</v>
      </c>
      <c r="N179">
        <v>6.93</v>
      </c>
      <c r="P179" s="16">
        <v>41288</v>
      </c>
      <c r="Q179">
        <v>7.11</v>
      </c>
      <c r="R179">
        <f t="shared" si="6"/>
        <v>-4</v>
      </c>
      <c r="T179">
        <f t="shared" si="7"/>
        <v>1.000265925148573</v>
      </c>
      <c r="U179">
        <f t="shared" si="8"/>
        <v>1.0191162686420372</v>
      </c>
      <c r="W179">
        <f t="shared" si="9"/>
        <v>1.0002726012671825</v>
      </c>
      <c r="X179">
        <f t="shared" si="10"/>
        <v>1.0194215207043231</v>
      </c>
    </row>
    <row r="180" spans="1:24" ht="12.75">
      <c r="A180" s="16">
        <v>41295</v>
      </c>
      <c r="B180">
        <v>8.09</v>
      </c>
      <c r="D180" s="16">
        <v>41295</v>
      </c>
      <c r="E180">
        <v>7.8100000000000005</v>
      </c>
      <c r="G180" s="16">
        <v>41295</v>
      </c>
      <c r="H180">
        <v>7.13</v>
      </c>
      <c r="J180" s="16">
        <v>41295</v>
      </c>
      <c r="K180">
        <v>7.38</v>
      </c>
      <c r="M180" s="16">
        <v>41289</v>
      </c>
      <c r="N180">
        <v>6.9399999999999995</v>
      </c>
      <c r="P180" s="16">
        <v>41289</v>
      </c>
      <c r="Q180">
        <v>7.11</v>
      </c>
      <c r="R180">
        <f t="shared" si="6"/>
        <v>-6</v>
      </c>
      <c r="T180">
        <f t="shared" si="7"/>
        <v>1.0002662963376099</v>
      </c>
      <c r="U180">
        <f t="shared" si="8"/>
        <v>1.019387277287189</v>
      </c>
      <c r="W180">
        <f t="shared" si="9"/>
        <v>1.0002726012671825</v>
      </c>
      <c r="X180">
        <f t="shared" si="10"/>
        <v>1.0196994163026603</v>
      </c>
    </row>
    <row r="181" spans="1:24" ht="12.75">
      <c r="A181" s="16">
        <v>41296</v>
      </c>
      <c r="B181">
        <v>8.16</v>
      </c>
      <c r="D181" s="16">
        <v>41296</v>
      </c>
      <c r="E181">
        <v>7.88</v>
      </c>
      <c r="G181" s="16">
        <v>41296</v>
      </c>
      <c r="H181">
        <v>7.17</v>
      </c>
      <c r="J181" s="16">
        <v>41296</v>
      </c>
      <c r="K181">
        <v>7.44</v>
      </c>
      <c r="M181" s="16">
        <v>41290</v>
      </c>
      <c r="N181">
        <v>6.9399999999999995</v>
      </c>
      <c r="P181" s="16">
        <v>41290</v>
      </c>
      <c r="Q181">
        <v>7.11</v>
      </c>
      <c r="R181">
        <f t="shared" si="6"/>
        <v>-6</v>
      </c>
      <c r="T181">
        <f t="shared" si="7"/>
        <v>1.0002662963376099</v>
      </c>
      <c r="U181">
        <f t="shared" si="8"/>
        <v>1.0196587363857368</v>
      </c>
      <c r="W181">
        <f t="shared" si="9"/>
        <v>1.0002726012671825</v>
      </c>
      <c r="X181">
        <f t="shared" si="10"/>
        <v>1.0199773876556897</v>
      </c>
    </row>
    <row r="182" spans="1:24" ht="12.75">
      <c r="A182" s="16">
        <v>41297</v>
      </c>
      <c r="B182">
        <v>8.14</v>
      </c>
      <c r="D182" s="16">
        <v>41297</v>
      </c>
      <c r="E182">
        <v>7.86</v>
      </c>
      <c r="G182" s="16">
        <v>41297</v>
      </c>
      <c r="H182">
        <v>7.18</v>
      </c>
      <c r="J182" s="16">
        <v>41297</v>
      </c>
      <c r="K182">
        <v>7.45</v>
      </c>
      <c r="M182" s="16">
        <v>41291</v>
      </c>
      <c r="N182">
        <v>6.9399999999999995</v>
      </c>
      <c r="P182" s="16">
        <v>41291</v>
      </c>
      <c r="Q182">
        <v>7.11</v>
      </c>
      <c r="R182">
        <f t="shared" si="6"/>
        <v>-6</v>
      </c>
      <c r="T182">
        <f t="shared" si="7"/>
        <v>1.0002662963376099</v>
      </c>
      <c r="U182">
        <f t="shared" si="8"/>
        <v>1.0199302677728481</v>
      </c>
      <c r="W182">
        <f t="shared" si="9"/>
        <v>1.0002726012671825</v>
      </c>
      <c r="X182">
        <f t="shared" si="10"/>
        <v>1.0202554347840622</v>
      </c>
    </row>
    <row r="183" spans="1:24" ht="12.75">
      <c r="A183" s="16">
        <v>41298</v>
      </c>
      <c r="B183">
        <v>8.23</v>
      </c>
      <c r="D183" s="16">
        <v>41298</v>
      </c>
      <c r="E183">
        <v>7.96</v>
      </c>
      <c r="G183" s="16">
        <v>41298</v>
      </c>
      <c r="H183">
        <v>7.25</v>
      </c>
      <c r="J183" s="16">
        <v>41298</v>
      </c>
      <c r="K183">
        <v>7.54</v>
      </c>
      <c r="M183" s="16">
        <v>41292</v>
      </c>
      <c r="N183">
        <v>6.92</v>
      </c>
      <c r="P183" s="16">
        <v>41292</v>
      </c>
      <c r="Q183">
        <v>7.11</v>
      </c>
      <c r="R183">
        <f t="shared" si="6"/>
        <v>-6</v>
      </c>
      <c r="T183">
        <f t="shared" si="7"/>
        <v>1.000265553924959</v>
      </c>
      <c r="U183">
        <f t="shared" si="8"/>
        <v>1.0202018714677734</v>
      </c>
      <c r="W183">
        <f t="shared" si="9"/>
        <v>1.0002726012671825</v>
      </c>
      <c r="X183">
        <f t="shared" si="10"/>
        <v>1.0205335577084342</v>
      </c>
    </row>
    <row r="184" spans="1:24" ht="12.75">
      <c r="A184" s="16">
        <v>41302</v>
      </c>
      <c r="B184">
        <v>8.23</v>
      </c>
      <c r="D184" s="16">
        <v>41302</v>
      </c>
      <c r="E184">
        <v>7.9399999999999995</v>
      </c>
      <c r="G184" s="16">
        <v>41302</v>
      </c>
      <c r="H184">
        <v>7.24</v>
      </c>
      <c r="J184" s="16">
        <v>41302</v>
      </c>
      <c r="K184">
        <v>7.53</v>
      </c>
      <c r="M184" s="16">
        <v>41295</v>
      </c>
      <c r="N184">
        <v>6.93</v>
      </c>
      <c r="P184" s="16">
        <v>41295</v>
      </c>
      <c r="Q184">
        <v>7.11</v>
      </c>
      <c r="R184">
        <f t="shared" si="6"/>
        <v>-7</v>
      </c>
      <c r="T184">
        <f t="shared" si="7"/>
        <v>1.000265925148573</v>
      </c>
      <c r="U184">
        <f t="shared" si="8"/>
        <v>1.0204727900789923</v>
      </c>
      <c r="W184">
        <f t="shared" si="9"/>
        <v>1.0002726012671825</v>
      </c>
      <c r="X184">
        <f t="shared" si="10"/>
        <v>1.0208117564494679</v>
      </c>
    </row>
    <row r="185" spans="1:24" ht="12.75">
      <c r="A185" s="16">
        <v>41303</v>
      </c>
      <c r="B185">
        <v>8.15</v>
      </c>
      <c r="D185" s="16">
        <v>41303</v>
      </c>
      <c r="E185">
        <v>7.87</v>
      </c>
      <c r="G185" s="16">
        <v>41303</v>
      </c>
      <c r="H185">
        <v>7.19</v>
      </c>
      <c r="J185" s="16">
        <v>41303</v>
      </c>
      <c r="K185">
        <v>7.47</v>
      </c>
      <c r="M185" s="16">
        <v>41296</v>
      </c>
      <c r="N185">
        <v>6.93</v>
      </c>
      <c r="P185" s="16">
        <v>41296</v>
      </c>
      <c r="Q185">
        <v>7.11</v>
      </c>
      <c r="R185">
        <f t="shared" si="6"/>
        <v>-7</v>
      </c>
      <c r="T185">
        <f t="shared" si="7"/>
        <v>1.000265925148573</v>
      </c>
      <c r="U185">
        <f t="shared" si="8"/>
        <v>1.0207441594573088</v>
      </c>
      <c r="W185">
        <f t="shared" si="9"/>
        <v>1.0002726012671825</v>
      </c>
      <c r="X185">
        <f t="shared" si="10"/>
        <v>1.0210900310278308</v>
      </c>
    </row>
    <row r="186" spans="1:24" ht="12.75">
      <c r="A186" s="16">
        <v>41304</v>
      </c>
      <c r="B186">
        <v>8.19</v>
      </c>
      <c r="D186" s="16">
        <v>41304</v>
      </c>
      <c r="E186">
        <v>7.91</v>
      </c>
      <c r="G186" s="16">
        <v>41304</v>
      </c>
      <c r="H186">
        <v>7.2</v>
      </c>
      <c r="J186" s="16">
        <v>41304</v>
      </c>
      <c r="K186">
        <v>7.51</v>
      </c>
      <c r="M186" s="16">
        <v>41297</v>
      </c>
      <c r="N186">
        <v>6.93</v>
      </c>
      <c r="P186" s="16">
        <v>41297</v>
      </c>
      <c r="Q186">
        <v>7.11</v>
      </c>
      <c r="R186">
        <f t="shared" si="6"/>
        <v>-7</v>
      </c>
      <c r="T186">
        <f t="shared" si="7"/>
        <v>1.000265925148573</v>
      </c>
      <c r="U186">
        <f t="shared" si="8"/>
        <v>1.0210156009995675</v>
      </c>
      <c r="W186">
        <f t="shared" si="9"/>
        <v>1.0002726012671825</v>
      </c>
      <c r="X186">
        <f t="shared" si="10"/>
        <v>1.0213683814641965</v>
      </c>
    </row>
    <row r="187" spans="1:24" ht="12.75">
      <c r="A187" s="16">
        <v>41305</v>
      </c>
      <c r="B187">
        <v>8.25</v>
      </c>
      <c r="D187" s="16">
        <v>41305</v>
      </c>
      <c r="E187">
        <v>7.95</v>
      </c>
      <c r="G187" s="16">
        <v>41305</v>
      </c>
      <c r="H187">
        <v>7.22</v>
      </c>
      <c r="J187" s="16">
        <v>41305</v>
      </c>
      <c r="K187">
        <v>7.54</v>
      </c>
      <c r="M187" s="16">
        <v>41298</v>
      </c>
      <c r="N187">
        <v>6.93</v>
      </c>
      <c r="P187" s="16">
        <v>41298</v>
      </c>
      <c r="Q187">
        <v>7.11</v>
      </c>
      <c r="R187">
        <f t="shared" si="6"/>
        <v>-7</v>
      </c>
      <c r="T187">
        <f t="shared" si="7"/>
        <v>1.000265925148573</v>
      </c>
      <c r="U187">
        <f t="shared" si="8"/>
        <v>1.0212871147249587</v>
      </c>
      <c r="W187">
        <f t="shared" si="9"/>
        <v>1.0002726012671825</v>
      </c>
      <c r="X187">
        <f t="shared" si="10"/>
        <v>1.0216468077792438</v>
      </c>
    </row>
    <row r="188" spans="1:24" ht="12.75">
      <c r="A188" s="16">
        <v>41306</v>
      </c>
      <c r="B188">
        <v>8.26</v>
      </c>
      <c r="D188" s="16">
        <v>41306</v>
      </c>
      <c r="E188">
        <v>7.99</v>
      </c>
      <c r="G188" s="16">
        <v>41306</v>
      </c>
      <c r="H188">
        <v>7.26</v>
      </c>
      <c r="J188" s="16">
        <v>41306</v>
      </c>
      <c r="K188">
        <v>7.58</v>
      </c>
      <c r="M188" s="16">
        <v>41299</v>
      </c>
      <c r="N188">
        <v>6.9399999999999995</v>
      </c>
      <c r="P188" s="16">
        <v>41299</v>
      </c>
      <c r="Q188">
        <v>7.11</v>
      </c>
      <c r="R188">
        <f t="shared" si="6"/>
        <v>-7</v>
      </c>
      <c r="T188">
        <f t="shared" si="7"/>
        <v>1.0002662963376099</v>
      </c>
      <c r="U188">
        <f t="shared" si="8"/>
        <v>1.0215587006526776</v>
      </c>
      <c r="W188">
        <f t="shared" si="9"/>
        <v>1.0002726012671825</v>
      </c>
      <c r="X188">
        <f t="shared" si="10"/>
        <v>1.0219253099936574</v>
      </c>
    </row>
    <row r="189" spans="1:24" ht="12.75">
      <c r="A189" s="16">
        <v>41309</v>
      </c>
      <c r="B189">
        <v>8.28</v>
      </c>
      <c r="D189" s="16">
        <v>41309</v>
      </c>
      <c r="E189">
        <v>7.99</v>
      </c>
      <c r="G189" s="16">
        <v>41309</v>
      </c>
      <c r="H189">
        <v>7.24</v>
      </c>
      <c r="J189" s="16">
        <v>41309</v>
      </c>
      <c r="K189">
        <v>7.57</v>
      </c>
      <c r="M189" s="16">
        <v>41302</v>
      </c>
      <c r="N189">
        <v>6.9399999999999995</v>
      </c>
      <c r="P189" s="16">
        <v>41302</v>
      </c>
      <c r="Q189">
        <v>7.11</v>
      </c>
      <c r="R189">
        <f t="shared" si="6"/>
        <v>-7</v>
      </c>
      <c r="T189">
        <f t="shared" si="7"/>
        <v>1.0002662963376099</v>
      </c>
      <c r="U189">
        <f t="shared" si="8"/>
        <v>1.021830737993315</v>
      </c>
      <c r="W189">
        <f t="shared" si="9"/>
        <v>1.0002726012671825</v>
      </c>
      <c r="X189">
        <f t="shared" si="10"/>
        <v>1.0222038881281275</v>
      </c>
    </row>
    <row r="190" spans="1:24" ht="12.75">
      <c r="A190" s="16">
        <v>41310</v>
      </c>
      <c r="B190">
        <v>8.32</v>
      </c>
      <c r="D190" s="16">
        <v>41310</v>
      </c>
      <c r="E190">
        <v>8.02</v>
      </c>
      <c r="G190" s="16">
        <v>41310</v>
      </c>
      <c r="H190">
        <v>7.28</v>
      </c>
      <c r="J190" s="16">
        <v>41310</v>
      </c>
      <c r="K190">
        <v>7.59</v>
      </c>
      <c r="M190" s="16">
        <v>41303</v>
      </c>
      <c r="N190">
        <v>6.95</v>
      </c>
      <c r="P190" s="16">
        <v>41303</v>
      </c>
      <c r="Q190">
        <v>7.11</v>
      </c>
      <c r="R190">
        <f t="shared" si="6"/>
        <v>-7</v>
      </c>
      <c r="T190">
        <f t="shared" si="7"/>
        <v>1.0002666674920762</v>
      </c>
      <c r="U190">
        <f t="shared" si="8"/>
        <v>1.0221028477764997</v>
      </c>
      <c r="W190">
        <f t="shared" si="9"/>
        <v>1.0002726012671825</v>
      </c>
      <c r="X190">
        <f t="shared" si="10"/>
        <v>1.02248254220335</v>
      </c>
    </row>
    <row r="191" spans="1:24" ht="12.75">
      <c r="A191" s="16">
        <v>41311</v>
      </c>
      <c r="B191">
        <v>8.4</v>
      </c>
      <c r="D191" s="16">
        <v>41311</v>
      </c>
      <c r="E191">
        <v>8.09</v>
      </c>
      <c r="G191" s="16">
        <v>41311</v>
      </c>
      <c r="H191">
        <v>7.35</v>
      </c>
      <c r="J191" s="16">
        <v>41311</v>
      </c>
      <c r="K191">
        <v>7.66</v>
      </c>
      <c r="M191" s="16">
        <v>41304</v>
      </c>
      <c r="N191">
        <v>6.95</v>
      </c>
      <c r="P191" s="16">
        <v>41304</v>
      </c>
      <c r="Q191">
        <v>7.11</v>
      </c>
      <c r="R191">
        <f t="shared" si="6"/>
        <v>-7</v>
      </c>
      <c r="T191">
        <f t="shared" si="7"/>
        <v>1.0002666674920762</v>
      </c>
      <c r="U191">
        <f t="shared" si="8"/>
        <v>1.0223754093795603</v>
      </c>
      <c r="W191">
        <f t="shared" si="9"/>
        <v>1.0002726012671825</v>
      </c>
      <c r="X191">
        <f t="shared" si="10"/>
        <v>1.0227612722400268</v>
      </c>
    </row>
    <row r="192" spans="1:24" ht="12.75">
      <c r="A192" s="16">
        <v>41312</v>
      </c>
      <c r="B192">
        <v>8.48</v>
      </c>
      <c r="D192" s="16">
        <v>41312</v>
      </c>
      <c r="E192">
        <v>8.19</v>
      </c>
      <c r="G192" s="16">
        <v>41312</v>
      </c>
      <c r="H192">
        <v>7.44</v>
      </c>
      <c r="J192" s="16">
        <v>41312</v>
      </c>
      <c r="K192">
        <v>7.76</v>
      </c>
      <c r="M192" s="16">
        <v>41305</v>
      </c>
      <c r="N192">
        <v>6.95</v>
      </c>
      <c r="P192" s="16">
        <v>41305</v>
      </c>
      <c r="Q192">
        <v>7.11</v>
      </c>
      <c r="R192">
        <f t="shared" si="6"/>
        <v>-7</v>
      </c>
      <c r="T192">
        <f t="shared" si="7"/>
        <v>1.0002666674920762</v>
      </c>
      <c r="U192">
        <f t="shared" si="8"/>
        <v>1.0226480436659398</v>
      </c>
      <c r="W192">
        <f t="shared" si="9"/>
        <v>1.0002726012671825</v>
      </c>
      <c r="X192">
        <f t="shared" si="10"/>
        <v>1.0230400782588647</v>
      </c>
    </row>
    <row r="193" spans="1:24" ht="12.75">
      <c r="A193" s="16">
        <v>41313</v>
      </c>
      <c r="B193">
        <v>8.46</v>
      </c>
      <c r="D193" s="16">
        <v>41313</v>
      </c>
      <c r="E193">
        <v>8.17</v>
      </c>
      <c r="G193" s="16">
        <v>41313</v>
      </c>
      <c r="H193">
        <v>7.4</v>
      </c>
      <c r="J193" s="16">
        <v>41313</v>
      </c>
      <c r="K193">
        <v>7.73</v>
      </c>
      <c r="M193" s="16">
        <v>41306</v>
      </c>
      <c r="N193">
        <v>6.95</v>
      </c>
      <c r="P193" s="16">
        <v>41306</v>
      </c>
      <c r="Q193">
        <v>7.11</v>
      </c>
      <c r="R193">
        <f t="shared" si="6"/>
        <v>-7</v>
      </c>
      <c r="T193">
        <f t="shared" si="7"/>
        <v>1.0002666674920762</v>
      </c>
      <c r="U193">
        <f t="shared" si="8"/>
        <v>1.0229207506550206</v>
      </c>
      <c r="W193">
        <f t="shared" si="9"/>
        <v>1.0002726012671825</v>
      </c>
      <c r="X193">
        <f t="shared" si="10"/>
        <v>1.0233189602805766</v>
      </c>
    </row>
    <row r="194" spans="1:24" ht="12.75">
      <c r="A194" s="16">
        <v>41318</v>
      </c>
      <c r="B194">
        <v>8.46</v>
      </c>
      <c r="D194" s="16">
        <v>41318</v>
      </c>
      <c r="E194">
        <v>8.16</v>
      </c>
      <c r="G194" s="16">
        <v>41318</v>
      </c>
      <c r="H194">
        <v>7.38</v>
      </c>
      <c r="J194" s="16">
        <v>41318</v>
      </c>
      <c r="K194">
        <v>7.7</v>
      </c>
      <c r="M194" s="16">
        <v>41309</v>
      </c>
      <c r="N194">
        <v>6.96</v>
      </c>
      <c r="P194" s="16">
        <v>41309</v>
      </c>
      <c r="Q194">
        <v>7.11</v>
      </c>
      <c r="R194">
        <f t="shared" si="6"/>
        <v>-9</v>
      </c>
      <c r="T194">
        <f t="shared" si="7"/>
        <v>1.0002670386119783</v>
      </c>
      <c r="U194">
        <f t="shared" si="8"/>
        <v>1.0231935303661905</v>
      </c>
      <c r="W194">
        <f t="shared" si="9"/>
        <v>1.0002726012671825</v>
      </c>
      <c r="X194">
        <f t="shared" si="10"/>
        <v>1.023597918325881</v>
      </c>
    </row>
    <row r="195" spans="1:24" ht="12.75">
      <c r="A195" s="16">
        <v>41319</v>
      </c>
      <c r="B195">
        <v>8.48</v>
      </c>
      <c r="D195" s="16">
        <v>41319</v>
      </c>
      <c r="E195">
        <v>8.17</v>
      </c>
      <c r="G195" s="16">
        <v>41319</v>
      </c>
      <c r="H195">
        <v>7.39</v>
      </c>
      <c r="J195" s="16">
        <v>41319</v>
      </c>
      <c r="K195">
        <v>7.73</v>
      </c>
      <c r="M195" s="16">
        <v>41310</v>
      </c>
      <c r="N195">
        <v>6.96</v>
      </c>
      <c r="P195" s="16">
        <v>41310</v>
      </c>
      <c r="Q195">
        <v>7.11</v>
      </c>
      <c r="R195">
        <f t="shared" si="6"/>
        <v>-9</v>
      </c>
      <c r="T195">
        <f t="shared" si="7"/>
        <v>1.0002670386119783</v>
      </c>
      <c r="U195">
        <f t="shared" si="8"/>
        <v>1.0234667625463247</v>
      </c>
      <c r="W195">
        <f t="shared" si="9"/>
        <v>1.0002726012671825</v>
      </c>
      <c r="X195">
        <f t="shared" si="10"/>
        <v>1.023876952415502</v>
      </c>
    </row>
    <row r="196" spans="1:24" ht="12.75">
      <c r="A196" s="16">
        <v>41320</v>
      </c>
      <c r="B196">
        <v>8.56</v>
      </c>
      <c r="D196" s="16">
        <v>41320</v>
      </c>
      <c r="E196">
        <v>8.29</v>
      </c>
      <c r="G196" s="16">
        <v>41320</v>
      </c>
      <c r="H196">
        <v>7.62</v>
      </c>
      <c r="J196" s="16">
        <v>41320</v>
      </c>
      <c r="K196">
        <v>7.9399999999999995</v>
      </c>
      <c r="M196" s="16">
        <v>41311</v>
      </c>
      <c r="N196">
        <v>6.96</v>
      </c>
      <c r="P196" s="16">
        <v>41311</v>
      </c>
      <c r="Q196">
        <v>7.11</v>
      </c>
      <c r="R196">
        <f aca="true" t="shared" si="11" ref="R196:R252">M196-J196</f>
        <v>-9</v>
      </c>
      <c r="T196">
        <f t="shared" si="7"/>
        <v>1.0002670386119783</v>
      </c>
      <c r="U196">
        <f t="shared" si="8"/>
        <v>1.023740067690001</v>
      </c>
      <c r="W196">
        <f t="shared" si="9"/>
        <v>1.0002726012671825</v>
      </c>
      <c r="X196">
        <f t="shared" si="10"/>
        <v>1.0241560625701696</v>
      </c>
    </row>
    <row r="197" spans="1:24" ht="12.75">
      <c r="A197" s="16">
        <v>41323</v>
      </c>
      <c r="B197">
        <v>8.69</v>
      </c>
      <c r="D197" s="16">
        <v>41323</v>
      </c>
      <c r="E197">
        <v>8.45</v>
      </c>
      <c r="G197" s="16">
        <v>41323</v>
      </c>
      <c r="H197">
        <v>7.73</v>
      </c>
      <c r="J197" s="16">
        <v>41323</v>
      </c>
      <c r="K197">
        <v>8.09</v>
      </c>
      <c r="M197" s="16">
        <v>41312</v>
      </c>
      <c r="N197">
        <v>6.95</v>
      </c>
      <c r="P197" s="16">
        <v>41312</v>
      </c>
      <c r="Q197">
        <v>7.11</v>
      </c>
      <c r="R197">
        <f t="shared" si="11"/>
        <v>-11</v>
      </c>
      <c r="T197">
        <f t="shared" si="7"/>
        <v>1.0002666674920762</v>
      </c>
      <c r="U197">
        <f t="shared" si="8"/>
        <v>1.0240134458167036</v>
      </c>
      <c r="W197">
        <f t="shared" si="9"/>
        <v>1.0002726012671825</v>
      </c>
      <c r="X197">
        <f t="shared" si="10"/>
        <v>1.0244352488106188</v>
      </c>
    </row>
    <row r="198" spans="1:24" ht="12.75">
      <c r="A198" s="16">
        <v>41324</v>
      </c>
      <c r="B198">
        <v>8.7</v>
      </c>
      <c r="D198" s="16">
        <v>41324</v>
      </c>
      <c r="E198">
        <v>8.45</v>
      </c>
      <c r="G198" s="16">
        <v>41324</v>
      </c>
      <c r="H198">
        <v>7.75</v>
      </c>
      <c r="J198" s="16">
        <v>41324</v>
      </c>
      <c r="K198">
        <v>8.11</v>
      </c>
      <c r="M198" s="16">
        <v>41313</v>
      </c>
      <c r="N198">
        <v>6.95</v>
      </c>
      <c r="P198" s="16">
        <v>41313</v>
      </c>
      <c r="Q198">
        <v>7.11</v>
      </c>
      <c r="R198">
        <f t="shared" si="11"/>
        <v>-11</v>
      </c>
      <c r="T198">
        <f t="shared" si="7"/>
        <v>1.0002666674920762</v>
      </c>
      <c r="U198">
        <f t="shared" si="8"/>
        <v>1.0242865169141517</v>
      </c>
      <c r="W198">
        <f t="shared" si="9"/>
        <v>1.0002726012671825</v>
      </c>
      <c r="X198">
        <f t="shared" si="10"/>
        <v>1.024714511157591</v>
      </c>
    </row>
    <row r="199" spans="1:24" ht="12.75">
      <c r="A199" s="16">
        <v>41325</v>
      </c>
      <c r="B199">
        <v>8.64</v>
      </c>
      <c r="D199" s="16">
        <v>41325</v>
      </c>
      <c r="E199">
        <v>8.39</v>
      </c>
      <c r="G199" s="16">
        <v>41325</v>
      </c>
      <c r="H199">
        <v>7.6899999999999995</v>
      </c>
      <c r="J199" s="16">
        <v>41325</v>
      </c>
      <c r="K199">
        <v>8.04</v>
      </c>
      <c r="M199" s="16">
        <v>41318</v>
      </c>
      <c r="N199">
        <v>6.95</v>
      </c>
      <c r="P199" s="16">
        <v>41318</v>
      </c>
      <c r="Q199">
        <v>7.11</v>
      </c>
      <c r="R199">
        <f t="shared" si="11"/>
        <v>-7</v>
      </c>
      <c r="T199">
        <f t="shared" si="7"/>
        <v>1.0002666674920762</v>
      </c>
      <c r="U199">
        <f t="shared" si="8"/>
        <v>1.0245596608307848</v>
      </c>
      <c r="W199">
        <f t="shared" si="9"/>
        <v>1.0002726012671825</v>
      </c>
      <c r="X199">
        <f t="shared" si="10"/>
        <v>1.024993849631833</v>
      </c>
    </row>
    <row r="200" spans="1:24" ht="12.75">
      <c r="A200" s="16">
        <v>41326</v>
      </c>
      <c r="B200">
        <v>8.63</v>
      </c>
      <c r="D200" s="16">
        <v>41326</v>
      </c>
      <c r="E200">
        <v>8.36</v>
      </c>
      <c r="G200" s="16">
        <v>41326</v>
      </c>
      <c r="H200">
        <v>7.67</v>
      </c>
      <c r="J200" s="16">
        <v>41326</v>
      </c>
      <c r="K200">
        <v>8</v>
      </c>
      <c r="M200" s="16">
        <v>41319</v>
      </c>
      <c r="N200">
        <v>6.9399999999999995</v>
      </c>
      <c r="P200" s="16">
        <v>41319</v>
      </c>
      <c r="Q200">
        <v>7.11</v>
      </c>
      <c r="R200">
        <f t="shared" si="11"/>
        <v>-7</v>
      </c>
      <c r="T200">
        <f t="shared" si="7"/>
        <v>1.0002662963376099</v>
      </c>
      <c r="U200">
        <f t="shared" si="8"/>
        <v>1.024832877586021</v>
      </c>
      <c r="W200">
        <f t="shared" si="9"/>
        <v>1.0002726012671825</v>
      </c>
      <c r="X200">
        <f t="shared" si="10"/>
        <v>1.025273264254097</v>
      </c>
    </row>
    <row r="201" spans="1:24" ht="12.75">
      <c r="A201" s="16">
        <v>41327</v>
      </c>
      <c r="B201">
        <v>8.76</v>
      </c>
      <c r="D201" s="16">
        <v>41327</v>
      </c>
      <c r="E201">
        <v>8.51</v>
      </c>
      <c r="G201" s="16">
        <v>41327</v>
      </c>
      <c r="H201">
        <v>7.83</v>
      </c>
      <c r="J201" s="16">
        <v>41327</v>
      </c>
      <c r="K201">
        <v>8.16</v>
      </c>
      <c r="M201" s="16">
        <v>41320</v>
      </c>
      <c r="N201">
        <v>6.9399999999999995</v>
      </c>
      <c r="P201" s="16">
        <v>41320</v>
      </c>
      <c r="Q201">
        <v>7.11</v>
      </c>
      <c r="R201">
        <f t="shared" si="11"/>
        <v>-7</v>
      </c>
      <c r="T201">
        <f t="shared" si="7"/>
        <v>1.0002662963376099</v>
      </c>
      <c r="U201">
        <f t="shared" si="8"/>
        <v>1.0251057868279843</v>
      </c>
      <c r="W201">
        <f t="shared" si="9"/>
        <v>1.0002726012671825</v>
      </c>
      <c r="X201">
        <f t="shared" si="10"/>
        <v>1.0255527550451409</v>
      </c>
    </row>
    <row r="202" spans="1:24" ht="12.75">
      <c r="A202" s="16">
        <v>41330</v>
      </c>
      <c r="B202">
        <v>8.71</v>
      </c>
      <c r="D202" s="16">
        <v>41330</v>
      </c>
      <c r="E202">
        <v>8.47</v>
      </c>
      <c r="G202" s="16">
        <v>41330</v>
      </c>
      <c r="H202">
        <v>7.8</v>
      </c>
      <c r="J202" s="16">
        <v>41330</v>
      </c>
      <c r="K202">
        <v>8.12</v>
      </c>
      <c r="M202" s="16">
        <v>41323</v>
      </c>
      <c r="N202">
        <v>6.9399999999999995</v>
      </c>
      <c r="P202" s="16">
        <v>41323</v>
      </c>
      <c r="Q202">
        <v>7.11</v>
      </c>
      <c r="R202">
        <f t="shared" si="11"/>
        <v>-7</v>
      </c>
      <c r="T202">
        <f t="shared" si="7"/>
        <v>1.0002662963376099</v>
      </c>
      <c r="U202">
        <f t="shared" si="8"/>
        <v>1.0253787687446791</v>
      </c>
      <c r="W202">
        <f t="shared" si="9"/>
        <v>1.0002726012671825</v>
      </c>
      <c r="X202">
        <f t="shared" si="10"/>
        <v>1.0258323220257288</v>
      </c>
    </row>
    <row r="203" spans="1:24" ht="12.75">
      <c r="A203" s="16">
        <v>41331</v>
      </c>
      <c r="B203">
        <v>8.7</v>
      </c>
      <c r="D203" s="16">
        <v>41331</v>
      </c>
      <c r="E203">
        <v>8.45</v>
      </c>
      <c r="G203" s="16">
        <v>41331</v>
      </c>
      <c r="H203">
        <v>7.8100000000000005</v>
      </c>
      <c r="J203" s="16">
        <v>41331</v>
      </c>
      <c r="K203">
        <v>8.11</v>
      </c>
      <c r="M203" s="16">
        <v>41324</v>
      </c>
      <c r="N203">
        <v>6.93</v>
      </c>
      <c r="P203" s="16">
        <v>41324</v>
      </c>
      <c r="Q203">
        <v>7.11</v>
      </c>
      <c r="R203">
        <f t="shared" si="11"/>
        <v>-7</v>
      </c>
      <c r="T203">
        <f t="shared" si="7"/>
        <v>1.000265925148573</v>
      </c>
      <c r="U203">
        <f t="shared" si="8"/>
        <v>1.0256518233554588</v>
      </c>
      <c r="W203">
        <f t="shared" si="9"/>
        <v>1.0002726012671825</v>
      </c>
      <c r="X203">
        <f t="shared" si="10"/>
        <v>1.02611196521663</v>
      </c>
    </row>
    <row r="204" spans="1:24" ht="12.75">
      <c r="A204" s="16">
        <v>41332</v>
      </c>
      <c r="B204">
        <v>8.65</v>
      </c>
      <c r="D204" s="16">
        <v>41332</v>
      </c>
      <c r="E204">
        <v>8.4</v>
      </c>
      <c r="G204" s="16">
        <v>41332</v>
      </c>
      <c r="H204">
        <v>7.75</v>
      </c>
      <c r="J204" s="16">
        <v>41332</v>
      </c>
      <c r="K204">
        <v>8.06</v>
      </c>
      <c r="M204" s="16">
        <v>41325</v>
      </c>
      <c r="N204">
        <v>6.95</v>
      </c>
      <c r="P204" s="16">
        <v>41325</v>
      </c>
      <c r="Q204">
        <v>7.11</v>
      </c>
      <c r="R204">
        <f t="shared" si="11"/>
        <v>-7</v>
      </c>
      <c r="T204">
        <f t="shared" si="7"/>
        <v>1.0002666674920762</v>
      </c>
      <c r="U204">
        <f t="shared" si="8"/>
        <v>1.0259245699689687</v>
      </c>
      <c r="W204">
        <f t="shared" si="9"/>
        <v>1.0002726012671825</v>
      </c>
      <c r="X204">
        <f t="shared" si="10"/>
        <v>1.0263916846386192</v>
      </c>
    </row>
    <row r="205" spans="1:24" ht="12.75">
      <c r="A205" s="16">
        <v>41333</v>
      </c>
      <c r="B205">
        <v>8.61</v>
      </c>
      <c r="D205" s="16">
        <v>41333</v>
      </c>
      <c r="E205">
        <v>8.36</v>
      </c>
      <c r="G205" s="16">
        <v>41333</v>
      </c>
      <c r="H205">
        <v>7.6899999999999995</v>
      </c>
      <c r="J205" s="16">
        <v>41333</v>
      </c>
      <c r="K205">
        <v>8</v>
      </c>
      <c r="M205" s="16">
        <v>41326</v>
      </c>
      <c r="N205">
        <v>6.95</v>
      </c>
      <c r="P205" s="16">
        <v>41326</v>
      </c>
      <c r="Q205">
        <v>7.11</v>
      </c>
      <c r="R205">
        <f t="shared" si="11"/>
        <v>-7</v>
      </c>
      <c r="T205">
        <f t="shared" si="7"/>
        <v>1.0002666674920762</v>
      </c>
      <c r="U205">
        <f t="shared" si="8"/>
        <v>1.0261981507011018</v>
      </c>
      <c r="W205">
        <f t="shared" si="9"/>
        <v>1.0002726012671825</v>
      </c>
      <c r="X205">
        <f t="shared" si="10"/>
        <v>1.0266714803124772</v>
      </c>
    </row>
    <row r="206" spans="1:24" ht="12.75">
      <c r="A206" s="16">
        <v>41334</v>
      </c>
      <c r="B206">
        <v>8.54</v>
      </c>
      <c r="D206" s="16">
        <v>41334</v>
      </c>
      <c r="E206">
        <v>8.3</v>
      </c>
      <c r="G206" s="16">
        <v>41334</v>
      </c>
      <c r="H206">
        <v>7.62</v>
      </c>
      <c r="J206" s="16">
        <v>41334</v>
      </c>
      <c r="K206">
        <v>7.93</v>
      </c>
      <c r="M206" s="16">
        <v>41327</v>
      </c>
      <c r="N206">
        <v>6.96</v>
      </c>
      <c r="P206" s="16">
        <v>41327</v>
      </c>
      <c r="Q206">
        <v>7.11</v>
      </c>
      <c r="R206">
        <f t="shared" si="11"/>
        <v>-7</v>
      </c>
      <c r="T206">
        <f t="shared" si="7"/>
        <v>1.0002670386119783</v>
      </c>
      <c r="U206">
        <f t="shared" si="8"/>
        <v>1.0264718043883223</v>
      </c>
      <c r="W206">
        <f t="shared" si="9"/>
        <v>1.0002726012671825</v>
      </c>
      <c r="X206">
        <f t="shared" si="10"/>
        <v>1.0269513522589906</v>
      </c>
    </row>
    <row r="207" spans="1:24" ht="12.75">
      <c r="A207" s="16">
        <v>41337</v>
      </c>
      <c r="B207">
        <v>8.57</v>
      </c>
      <c r="D207" s="16">
        <v>41337</v>
      </c>
      <c r="E207">
        <v>8.33</v>
      </c>
      <c r="G207" s="16">
        <v>41337</v>
      </c>
      <c r="H207">
        <v>7.64</v>
      </c>
      <c r="J207" s="16">
        <v>41337</v>
      </c>
      <c r="K207">
        <v>7.96</v>
      </c>
      <c r="M207" s="16">
        <v>41330</v>
      </c>
      <c r="N207">
        <v>7</v>
      </c>
      <c r="P207" s="16">
        <v>41330</v>
      </c>
      <c r="Q207">
        <v>7.11</v>
      </c>
      <c r="R207">
        <f t="shared" si="11"/>
        <v>-7</v>
      </c>
      <c r="T207">
        <f t="shared" si="7"/>
        <v>1.0002685227460728</v>
      </c>
      <c r="U207">
        <f t="shared" si="8"/>
        <v>1.026745911994201</v>
      </c>
      <c r="W207">
        <f t="shared" si="9"/>
        <v>1.0002726012671825</v>
      </c>
      <c r="X207">
        <f t="shared" si="10"/>
        <v>1.0272313004989513</v>
      </c>
    </row>
    <row r="208" spans="1:24" ht="12.75">
      <c r="A208" s="16">
        <v>41338</v>
      </c>
      <c r="B208">
        <v>8.56</v>
      </c>
      <c r="D208" s="16">
        <v>41338</v>
      </c>
      <c r="E208">
        <v>8.33</v>
      </c>
      <c r="G208" s="16">
        <v>41338</v>
      </c>
      <c r="H208">
        <v>7.67</v>
      </c>
      <c r="J208" s="16">
        <v>41338</v>
      </c>
      <c r="K208">
        <v>7.99</v>
      </c>
      <c r="M208" s="16">
        <v>41331</v>
      </c>
      <c r="N208">
        <v>6.98</v>
      </c>
      <c r="P208" s="16">
        <v>41331</v>
      </c>
      <c r="Q208">
        <v>7.18</v>
      </c>
      <c r="R208">
        <f t="shared" si="11"/>
        <v>-7</v>
      </c>
      <c r="T208">
        <f t="shared" si="7"/>
        <v>1.0002677807481153</v>
      </c>
      <c r="U208">
        <f t="shared" si="8"/>
        <v>1.0270216166260089</v>
      </c>
      <c r="W208">
        <f t="shared" si="9"/>
        <v>1.0002751945181079</v>
      </c>
      <c r="X208">
        <f t="shared" si="10"/>
        <v>1.027511325053157</v>
      </c>
    </row>
    <row r="209" spans="1:24" ht="12.75">
      <c r="A209" s="16">
        <v>41339</v>
      </c>
      <c r="B209">
        <v>8.58</v>
      </c>
      <c r="D209" s="16">
        <v>41339</v>
      </c>
      <c r="E209">
        <v>8.35</v>
      </c>
      <c r="G209" s="16">
        <v>41339</v>
      </c>
      <c r="H209">
        <v>7.67</v>
      </c>
      <c r="J209" s="16">
        <v>41339</v>
      </c>
      <c r="K209">
        <v>7.99</v>
      </c>
      <c r="M209" s="16">
        <v>41332</v>
      </c>
      <c r="N209">
        <v>6.98</v>
      </c>
      <c r="P209" s="16">
        <v>41332</v>
      </c>
      <c r="Q209">
        <v>7.2</v>
      </c>
      <c r="R209">
        <f t="shared" si="11"/>
        <v>-7</v>
      </c>
      <c r="T209">
        <f t="shared" si="7"/>
        <v>1.0002677807481153</v>
      </c>
      <c r="U209">
        <f t="shared" si="8"/>
        <v>1.0272966332428395</v>
      </c>
      <c r="W209">
        <f t="shared" si="9"/>
        <v>1.0002759351371007</v>
      </c>
      <c r="X209">
        <f t="shared" si="10"/>
        <v>1.0277940905371052</v>
      </c>
    </row>
    <row r="210" spans="1:24" ht="12.75">
      <c r="A210" s="16">
        <v>41340</v>
      </c>
      <c r="B210">
        <v>8.71</v>
      </c>
      <c r="D210" s="16">
        <v>41340</v>
      </c>
      <c r="E210">
        <v>8.48</v>
      </c>
      <c r="G210" s="16">
        <v>41340</v>
      </c>
      <c r="H210">
        <v>7.79</v>
      </c>
      <c r="J210" s="16">
        <v>41340</v>
      </c>
      <c r="K210">
        <v>8.12</v>
      </c>
      <c r="M210" s="16">
        <v>41333</v>
      </c>
      <c r="N210">
        <v>6.98</v>
      </c>
      <c r="P210" s="16">
        <v>41333</v>
      </c>
      <c r="Q210">
        <v>7.2</v>
      </c>
      <c r="R210">
        <f t="shared" si="11"/>
        <v>-7</v>
      </c>
      <c r="T210">
        <f t="shared" si="7"/>
        <v>1.0002677807481153</v>
      </c>
      <c r="U210">
        <f t="shared" si="8"/>
        <v>1.0275717235038255</v>
      </c>
      <c r="W210">
        <f t="shared" si="9"/>
        <v>1.0002759351371007</v>
      </c>
      <c r="X210">
        <f t="shared" si="10"/>
        <v>1.028077695040389</v>
      </c>
    </row>
    <row r="211" spans="1:24" ht="12.75">
      <c r="A211" s="16">
        <v>41341</v>
      </c>
      <c r="B211">
        <v>8.88</v>
      </c>
      <c r="D211" s="16">
        <v>41341</v>
      </c>
      <c r="E211">
        <v>8.66</v>
      </c>
      <c r="G211" s="16">
        <v>41341</v>
      </c>
      <c r="H211">
        <v>7.96</v>
      </c>
      <c r="J211" s="16">
        <v>41341</v>
      </c>
      <c r="K211">
        <v>8.32</v>
      </c>
      <c r="M211" s="16">
        <v>41334</v>
      </c>
      <c r="N211">
        <v>6.98</v>
      </c>
      <c r="P211" s="16">
        <v>41334</v>
      </c>
      <c r="Q211">
        <v>7.14</v>
      </c>
      <c r="R211">
        <f t="shared" si="11"/>
        <v>-7</v>
      </c>
      <c r="T211">
        <f t="shared" si="7"/>
        <v>1.0002677807481153</v>
      </c>
      <c r="U211">
        <f t="shared" si="8"/>
        <v>1.0278468874286875</v>
      </c>
      <c r="W211">
        <f t="shared" si="9"/>
        <v>1.0002737128670753</v>
      </c>
      <c r="X211">
        <f t="shared" si="10"/>
        <v>1.02836137780012</v>
      </c>
    </row>
    <row r="212" spans="1:24" ht="12.75">
      <c r="A212" s="16">
        <v>41344</v>
      </c>
      <c r="B212">
        <v>8.81</v>
      </c>
      <c r="D212" s="16">
        <v>41344</v>
      </c>
      <c r="E212">
        <v>8.56</v>
      </c>
      <c r="G212" s="16">
        <v>41344</v>
      </c>
      <c r="H212">
        <v>7.85</v>
      </c>
      <c r="J212" s="16">
        <v>41344</v>
      </c>
      <c r="K212">
        <v>8.21</v>
      </c>
      <c r="M212" s="16">
        <v>41337</v>
      </c>
      <c r="N212">
        <v>6.99</v>
      </c>
      <c r="P212" s="16">
        <v>41337</v>
      </c>
      <c r="Q212">
        <v>7.12</v>
      </c>
      <c r="R212">
        <f t="shared" si="11"/>
        <v>-7</v>
      </c>
      <c r="T212">
        <f t="shared" si="7"/>
        <v>1.0002681517643632</v>
      </c>
      <c r="U212">
        <f t="shared" si="8"/>
        <v>1.028122125037151</v>
      </c>
      <c r="W212">
        <f t="shared" si="9"/>
        <v>1.0002729718349328</v>
      </c>
      <c r="X212">
        <f t="shared" si="10"/>
        <v>1.028642853541227</v>
      </c>
    </row>
    <row r="213" spans="1:24" ht="12.75">
      <c r="A213" s="16">
        <v>41345</v>
      </c>
      <c r="B213">
        <v>8.87</v>
      </c>
      <c r="D213" s="16">
        <v>41345</v>
      </c>
      <c r="E213">
        <v>8.62</v>
      </c>
      <c r="G213" s="16">
        <v>41345</v>
      </c>
      <c r="H213">
        <v>7.91</v>
      </c>
      <c r="J213" s="16">
        <v>41345</v>
      </c>
      <c r="K213">
        <v>8.28</v>
      </c>
      <c r="M213" s="16">
        <v>41338</v>
      </c>
      <c r="N213">
        <v>6.99</v>
      </c>
      <c r="P213" s="16">
        <v>41338</v>
      </c>
      <c r="Q213">
        <v>7.12</v>
      </c>
      <c r="R213">
        <f t="shared" si="11"/>
        <v>-7</v>
      </c>
      <c r="T213">
        <f t="shared" si="7"/>
        <v>1.0002681517643632</v>
      </c>
      <c r="U213">
        <f t="shared" si="8"/>
        <v>1.0283978177989606</v>
      </c>
      <c r="W213">
        <f t="shared" si="9"/>
        <v>1.0002729718349328</v>
      </c>
      <c r="X213">
        <f t="shared" si="10"/>
        <v>1.0289236440684488</v>
      </c>
    </row>
    <row r="214" spans="1:24" ht="12.75">
      <c r="A214" s="16">
        <v>41346</v>
      </c>
      <c r="B214">
        <v>8.94</v>
      </c>
      <c r="D214" s="16">
        <v>41346</v>
      </c>
      <c r="E214">
        <v>8.7</v>
      </c>
      <c r="G214" s="16">
        <v>41346</v>
      </c>
      <c r="H214">
        <v>7.96</v>
      </c>
      <c r="J214" s="16">
        <v>41346</v>
      </c>
      <c r="K214">
        <v>8.34</v>
      </c>
      <c r="M214" s="16">
        <v>41339</v>
      </c>
      <c r="N214">
        <v>6.99</v>
      </c>
      <c r="P214" s="16">
        <v>41339</v>
      </c>
      <c r="Q214">
        <v>7.14</v>
      </c>
      <c r="R214">
        <f t="shared" si="11"/>
        <v>-7</v>
      </c>
      <c r="T214">
        <f t="shared" si="7"/>
        <v>1.0002681517643632</v>
      </c>
      <c r="U214">
        <f t="shared" si="8"/>
        <v>1.0286735844882706</v>
      </c>
      <c r="W214">
        <f t="shared" si="9"/>
        <v>1.0002737128670753</v>
      </c>
      <c r="X214">
        <f t="shared" si="10"/>
        <v>1.029204511243576</v>
      </c>
    </row>
    <row r="215" spans="1:24" ht="12.75">
      <c r="A215" s="16">
        <v>41347</v>
      </c>
      <c r="B215">
        <v>8.89</v>
      </c>
      <c r="D215" s="16">
        <v>41347</v>
      </c>
      <c r="E215">
        <v>8.62</v>
      </c>
      <c r="G215" s="16">
        <v>41347</v>
      </c>
      <c r="H215">
        <v>7.84</v>
      </c>
      <c r="J215" s="16">
        <v>41347</v>
      </c>
      <c r="K215">
        <v>8.26</v>
      </c>
      <c r="M215" s="16">
        <v>41340</v>
      </c>
      <c r="N215">
        <v>6.99</v>
      </c>
      <c r="P215" s="16">
        <v>41340</v>
      </c>
      <c r="Q215">
        <v>7.12</v>
      </c>
      <c r="R215">
        <f t="shared" si="11"/>
        <v>-7</v>
      </c>
      <c r="T215">
        <f t="shared" si="7"/>
        <v>1.0002681517643632</v>
      </c>
      <c r="U215">
        <f t="shared" si="8"/>
        <v>1.028949425124905</v>
      </c>
      <c r="W215">
        <f t="shared" si="9"/>
        <v>1.0002729718349328</v>
      </c>
      <c r="X215">
        <f t="shared" si="10"/>
        <v>1.0294862177611552</v>
      </c>
    </row>
    <row r="216" spans="1:24" ht="12.75">
      <c r="A216" s="16">
        <v>41348</v>
      </c>
      <c r="B216">
        <v>8.83</v>
      </c>
      <c r="D216" s="16">
        <v>41348</v>
      </c>
      <c r="E216">
        <v>8.58</v>
      </c>
      <c r="G216" s="16">
        <v>41348</v>
      </c>
      <c r="H216">
        <v>7.84</v>
      </c>
      <c r="J216" s="16">
        <v>41348</v>
      </c>
      <c r="K216">
        <v>8.22</v>
      </c>
      <c r="M216" s="16">
        <v>41341</v>
      </c>
      <c r="N216">
        <v>6.99</v>
      </c>
      <c r="P216" s="16">
        <v>41341</v>
      </c>
      <c r="Q216">
        <v>7.13</v>
      </c>
      <c r="R216">
        <f t="shared" si="11"/>
        <v>-7</v>
      </c>
      <c r="T216">
        <f t="shared" si="7"/>
        <v>1.0002681517643632</v>
      </c>
      <c r="U216">
        <f t="shared" si="8"/>
        <v>1.0292253397286928</v>
      </c>
      <c r="W216">
        <f t="shared" si="9"/>
        <v>1.0002733423682282</v>
      </c>
      <c r="X216">
        <f t="shared" si="10"/>
        <v>1.0297672385030556</v>
      </c>
    </row>
    <row r="217" spans="1:24" ht="12.75">
      <c r="A217" s="16">
        <v>41351</v>
      </c>
      <c r="B217">
        <v>8.84</v>
      </c>
      <c r="D217" s="16">
        <v>41351</v>
      </c>
      <c r="E217">
        <v>8.57</v>
      </c>
      <c r="G217" s="16">
        <v>41351</v>
      </c>
      <c r="H217">
        <v>7.84</v>
      </c>
      <c r="J217" s="16">
        <v>41351</v>
      </c>
      <c r="K217">
        <v>8.21</v>
      </c>
      <c r="M217" s="16">
        <v>41344</v>
      </c>
      <c r="N217">
        <v>6.99</v>
      </c>
      <c r="P217" s="16">
        <v>41344</v>
      </c>
      <c r="Q217">
        <v>7.13</v>
      </c>
      <c r="R217">
        <f t="shared" si="11"/>
        <v>-7</v>
      </c>
      <c r="T217">
        <f t="shared" si="7"/>
        <v>1.0002681517643632</v>
      </c>
      <c r="U217">
        <f t="shared" si="8"/>
        <v>1.0295013283194683</v>
      </c>
      <c r="W217">
        <f t="shared" si="9"/>
        <v>1.0002733423682282</v>
      </c>
      <c r="X217">
        <f t="shared" si="10"/>
        <v>1.0300487175187518</v>
      </c>
    </row>
    <row r="218" spans="1:24" ht="12.75">
      <c r="A218" s="16">
        <v>41352</v>
      </c>
      <c r="B218">
        <v>8.8</v>
      </c>
      <c r="D218" s="16">
        <v>41352</v>
      </c>
      <c r="E218">
        <v>8.53</v>
      </c>
      <c r="G218" s="16">
        <v>41352</v>
      </c>
      <c r="H218">
        <v>7.8100000000000005</v>
      </c>
      <c r="J218" s="16">
        <v>41352</v>
      </c>
      <c r="K218">
        <v>8.18</v>
      </c>
      <c r="M218" s="16">
        <v>41345</v>
      </c>
      <c r="N218">
        <v>6.99</v>
      </c>
      <c r="P218" s="16">
        <v>41345</v>
      </c>
      <c r="Q218">
        <v>7.14</v>
      </c>
      <c r="R218">
        <f t="shared" si="11"/>
        <v>-7</v>
      </c>
      <c r="T218">
        <f t="shared" si="7"/>
        <v>1.0002681517643632</v>
      </c>
      <c r="U218">
        <f t="shared" si="8"/>
        <v>1.0297773909170715</v>
      </c>
      <c r="W218">
        <f t="shared" si="9"/>
        <v>1.0002737128670753</v>
      </c>
      <c r="X218">
        <f t="shared" si="10"/>
        <v>1.0303302734745887</v>
      </c>
    </row>
    <row r="219" spans="1:24" ht="12.75">
      <c r="A219" s="16">
        <v>41353</v>
      </c>
      <c r="B219">
        <v>8.81</v>
      </c>
      <c r="D219" s="16">
        <v>41353</v>
      </c>
      <c r="E219">
        <v>8.54</v>
      </c>
      <c r="G219" s="16">
        <v>41353</v>
      </c>
      <c r="H219">
        <v>7.8100000000000005</v>
      </c>
      <c r="J219" s="16">
        <v>41353</v>
      </c>
      <c r="K219">
        <v>8.18</v>
      </c>
      <c r="M219" s="16">
        <v>41346</v>
      </c>
      <c r="N219">
        <v>6.99</v>
      </c>
      <c r="P219" s="16">
        <v>41346</v>
      </c>
      <c r="Q219">
        <v>7.15</v>
      </c>
      <c r="R219">
        <f t="shared" si="11"/>
        <v>-7</v>
      </c>
      <c r="T219">
        <f t="shared" si="7"/>
        <v>1.0002681517643632</v>
      </c>
      <c r="U219">
        <f t="shared" si="8"/>
        <v>1.0300535275413474</v>
      </c>
      <c r="W219">
        <f t="shared" si="9"/>
        <v>1.0002740833314805</v>
      </c>
      <c r="X219">
        <f t="shared" si="10"/>
        <v>1.030612288127776</v>
      </c>
    </row>
    <row r="220" spans="1:24" ht="12.75">
      <c r="A220" s="16">
        <v>41354</v>
      </c>
      <c r="B220">
        <v>8.88</v>
      </c>
      <c r="D220" s="16">
        <v>41354</v>
      </c>
      <c r="E220">
        <v>8.59</v>
      </c>
      <c r="G220" s="16">
        <v>41354</v>
      </c>
      <c r="H220">
        <v>7.84</v>
      </c>
      <c r="J220" s="16">
        <v>41354</v>
      </c>
      <c r="K220">
        <v>8.25</v>
      </c>
      <c r="M220" s="16">
        <v>41347</v>
      </c>
      <c r="N220">
        <v>6.99</v>
      </c>
      <c r="P220" s="16">
        <v>41347</v>
      </c>
      <c r="Q220">
        <v>7.16</v>
      </c>
      <c r="R220">
        <f t="shared" si="11"/>
        <v>-7</v>
      </c>
      <c r="T220">
        <f t="shared" si="7"/>
        <v>1.0002681517643632</v>
      </c>
      <c r="U220">
        <f t="shared" si="8"/>
        <v>1.0303297382121461</v>
      </c>
      <c r="W220">
        <f t="shared" si="9"/>
        <v>1.0002744537614499</v>
      </c>
      <c r="X220">
        <f t="shared" si="10"/>
        <v>1.0308947617771707</v>
      </c>
    </row>
    <row r="221" spans="1:24" ht="12.75">
      <c r="A221" s="16">
        <v>41355</v>
      </c>
      <c r="B221">
        <v>8.81</v>
      </c>
      <c r="D221" s="16">
        <v>41355</v>
      </c>
      <c r="E221">
        <v>8.52</v>
      </c>
      <c r="G221" s="16">
        <v>41355</v>
      </c>
      <c r="H221">
        <v>7.77</v>
      </c>
      <c r="J221" s="16">
        <v>41355</v>
      </c>
      <c r="K221">
        <v>8.16</v>
      </c>
      <c r="M221" s="16">
        <v>41348</v>
      </c>
      <c r="N221">
        <v>6.99</v>
      </c>
      <c r="P221" s="16">
        <v>41348</v>
      </c>
      <c r="Q221">
        <v>7.16</v>
      </c>
      <c r="R221">
        <f t="shared" si="11"/>
        <v>-7</v>
      </c>
      <c r="T221">
        <f t="shared" si="7"/>
        <v>1.0002681517643632</v>
      </c>
      <c r="U221">
        <f t="shared" si="8"/>
        <v>1.0306060229493237</v>
      </c>
      <c r="W221">
        <f t="shared" si="9"/>
        <v>1.0002744537614499</v>
      </c>
      <c r="X221">
        <f t="shared" si="10"/>
        <v>1.0311776947221993</v>
      </c>
    </row>
    <row r="222" spans="1:24" ht="12.75">
      <c r="A222" s="16">
        <v>41358</v>
      </c>
      <c r="B222">
        <v>8.78</v>
      </c>
      <c r="D222" s="16">
        <v>41358</v>
      </c>
      <c r="E222">
        <v>8.51</v>
      </c>
      <c r="G222" s="16">
        <v>41358</v>
      </c>
      <c r="H222">
        <v>7.78</v>
      </c>
      <c r="J222" s="16">
        <v>41358</v>
      </c>
      <c r="K222">
        <v>8.14</v>
      </c>
      <c r="M222" s="16">
        <v>41351</v>
      </c>
      <c r="N222">
        <v>6.99</v>
      </c>
      <c r="P222" s="16">
        <v>41351</v>
      </c>
      <c r="Q222">
        <v>7.16</v>
      </c>
      <c r="R222">
        <f t="shared" si="11"/>
        <v>-7</v>
      </c>
      <c r="T222">
        <f t="shared" si="7"/>
        <v>1.0002681517643632</v>
      </c>
      <c r="U222">
        <f t="shared" si="8"/>
        <v>1.0308823817727408</v>
      </c>
      <c r="W222">
        <f t="shared" si="9"/>
        <v>1.0002744537614499</v>
      </c>
      <c r="X222">
        <f t="shared" si="10"/>
        <v>1.031460705319239</v>
      </c>
    </row>
    <row r="223" spans="1:24" ht="12.75">
      <c r="A223" s="16">
        <v>41359</v>
      </c>
      <c r="B223">
        <v>8.8</v>
      </c>
      <c r="D223" s="16">
        <v>41359</v>
      </c>
      <c r="E223">
        <v>8.52</v>
      </c>
      <c r="G223" s="16">
        <v>41359</v>
      </c>
      <c r="H223">
        <v>7.79</v>
      </c>
      <c r="J223" s="16">
        <v>41359</v>
      </c>
      <c r="K223">
        <v>8.17</v>
      </c>
      <c r="M223" s="16">
        <v>41352</v>
      </c>
      <c r="N223">
        <v>6.99</v>
      </c>
      <c r="P223" s="16">
        <v>41352</v>
      </c>
      <c r="Q223">
        <v>7.16</v>
      </c>
      <c r="R223">
        <f t="shared" si="11"/>
        <v>-7</v>
      </c>
      <c r="T223">
        <f t="shared" si="7"/>
        <v>1.0002681517643632</v>
      </c>
      <c r="U223">
        <f t="shared" si="8"/>
        <v>1.0311588147022641</v>
      </c>
      <c r="W223">
        <f t="shared" si="9"/>
        <v>1.0002744537614499</v>
      </c>
      <c r="X223">
        <f t="shared" si="10"/>
        <v>1.0317437935896017</v>
      </c>
    </row>
    <row r="224" spans="1:24" ht="12.75">
      <c r="A224" s="16">
        <v>41360</v>
      </c>
      <c r="B224">
        <v>8.73</v>
      </c>
      <c r="D224" s="16">
        <v>41360</v>
      </c>
      <c r="E224">
        <v>8.45</v>
      </c>
      <c r="G224" s="16">
        <v>41360</v>
      </c>
      <c r="H224">
        <v>7.74</v>
      </c>
      <c r="J224" s="16">
        <v>41360</v>
      </c>
      <c r="K224">
        <v>8.1</v>
      </c>
      <c r="M224" s="16">
        <v>41353</v>
      </c>
      <c r="N224">
        <v>6.99</v>
      </c>
      <c r="P224" s="16">
        <v>41353</v>
      </c>
      <c r="Q224">
        <v>7.16</v>
      </c>
      <c r="R224">
        <f t="shared" si="11"/>
        <v>-7</v>
      </c>
      <c r="T224">
        <f t="shared" si="7"/>
        <v>1.0002681517643632</v>
      </c>
      <c r="U224">
        <f t="shared" si="8"/>
        <v>1.0314353217577652</v>
      </c>
      <c r="W224">
        <f t="shared" si="9"/>
        <v>1.0002744537614499</v>
      </c>
      <c r="X224">
        <f t="shared" si="10"/>
        <v>1.0320269595546048</v>
      </c>
    </row>
    <row r="225" spans="1:24" ht="12.75">
      <c r="A225" s="16">
        <v>41361</v>
      </c>
      <c r="B225">
        <v>8.8</v>
      </c>
      <c r="D225" s="16">
        <v>41361</v>
      </c>
      <c r="E225">
        <v>8.49</v>
      </c>
      <c r="G225" s="16">
        <v>41361</v>
      </c>
      <c r="H225">
        <v>7.77</v>
      </c>
      <c r="J225" s="16">
        <v>41361</v>
      </c>
      <c r="K225">
        <v>8.13</v>
      </c>
      <c r="M225" s="16">
        <v>41354</v>
      </c>
      <c r="N225">
        <v>6.99</v>
      </c>
      <c r="P225" s="16">
        <v>41354</v>
      </c>
      <c r="Q225">
        <v>7.16</v>
      </c>
      <c r="R225">
        <f t="shared" si="11"/>
        <v>-7</v>
      </c>
      <c r="T225">
        <f t="shared" si="7"/>
        <v>1.0002681517643632</v>
      </c>
      <c r="U225">
        <f t="shared" si="8"/>
        <v>1.031711902959121</v>
      </c>
      <c r="W225">
        <f t="shared" si="9"/>
        <v>1.0002744537614499</v>
      </c>
      <c r="X225">
        <f t="shared" si="10"/>
        <v>1.0323102032355722</v>
      </c>
    </row>
    <row r="226" spans="1:24" ht="12.75">
      <c r="A226" s="16">
        <v>41365</v>
      </c>
      <c r="B226">
        <v>8.79</v>
      </c>
      <c r="D226" s="16">
        <v>41365</v>
      </c>
      <c r="E226">
        <v>8.49</v>
      </c>
      <c r="G226" s="16">
        <v>41365</v>
      </c>
      <c r="H226">
        <v>7.78</v>
      </c>
      <c r="J226" s="16">
        <v>41365</v>
      </c>
      <c r="K226">
        <v>8.16</v>
      </c>
      <c r="M226" s="16">
        <v>41355</v>
      </c>
      <c r="N226">
        <v>6.99</v>
      </c>
      <c r="P226" s="16">
        <v>41355</v>
      </c>
      <c r="Q226">
        <v>7.16</v>
      </c>
      <c r="R226">
        <f t="shared" si="11"/>
        <v>-10</v>
      </c>
      <c r="T226">
        <f t="shared" si="7"/>
        <v>1.0002681517643632</v>
      </c>
      <c r="U226">
        <f t="shared" si="8"/>
        <v>1.031988558326214</v>
      </c>
      <c r="W226">
        <f t="shared" si="9"/>
        <v>1.0002744537614499</v>
      </c>
      <c r="X226">
        <f t="shared" si="10"/>
        <v>1.0325935246538334</v>
      </c>
    </row>
    <row r="227" spans="1:24" ht="12.75">
      <c r="A227" s="16">
        <v>41366</v>
      </c>
      <c r="B227">
        <v>8.75</v>
      </c>
      <c r="D227" s="16">
        <v>41366</v>
      </c>
      <c r="E227">
        <v>8.44</v>
      </c>
      <c r="G227" s="16">
        <v>41366</v>
      </c>
      <c r="H227">
        <v>7.75</v>
      </c>
      <c r="J227" s="16">
        <v>41366</v>
      </c>
      <c r="K227">
        <v>8.09</v>
      </c>
      <c r="M227" s="16">
        <v>41358</v>
      </c>
      <c r="N227">
        <v>6.99</v>
      </c>
      <c r="P227" s="16">
        <v>41358</v>
      </c>
      <c r="Q227">
        <v>7.16</v>
      </c>
      <c r="R227">
        <f t="shared" si="11"/>
        <v>-8</v>
      </c>
      <c r="T227">
        <f t="shared" si="7"/>
        <v>1.0002681517643632</v>
      </c>
      <c r="U227">
        <f t="shared" si="8"/>
        <v>1.0322652878789318</v>
      </c>
      <c r="W227">
        <f t="shared" si="9"/>
        <v>1.0002744537614499</v>
      </c>
      <c r="X227">
        <f t="shared" si="10"/>
        <v>1.0328769238307234</v>
      </c>
    </row>
    <row r="228" spans="1:24" ht="12.75">
      <c r="A228" s="16">
        <v>41367</v>
      </c>
      <c r="B228">
        <v>8.85</v>
      </c>
      <c r="D228" s="16">
        <v>41367</v>
      </c>
      <c r="E228">
        <v>8.55</v>
      </c>
      <c r="G228" s="16">
        <v>41367</v>
      </c>
      <c r="H228">
        <v>7.86</v>
      </c>
      <c r="J228" s="16">
        <v>41367</v>
      </c>
      <c r="K228">
        <v>8.24</v>
      </c>
      <c r="M228" s="16">
        <v>41359</v>
      </c>
      <c r="N228">
        <v>6.99</v>
      </c>
      <c r="P228" s="16">
        <v>41359</v>
      </c>
      <c r="Q228">
        <v>7.16</v>
      </c>
      <c r="R228">
        <f t="shared" si="11"/>
        <v>-8</v>
      </c>
      <c r="T228">
        <f t="shared" si="7"/>
        <v>1.0002681517643632</v>
      </c>
      <c r="U228">
        <f t="shared" si="8"/>
        <v>1.0325420916371675</v>
      </c>
      <c r="W228">
        <f t="shared" si="9"/>
        <v>1.0002744537614499</v>
      </c>
      <c r="X228">
        <f t="shared" si="10"/>
        <v>1.0331604007875834</v>
      </c>
    </row>
    <row r="229" spans="1:24" ht="12.75">
      <c r="A229" s="16">
        <v>41368</v>
      </c>
      <c r="B229">
        <v>8.79</v>
      </c>
      <c r="D229" s="16">
        <v>41368</v>
      </c>
      <c r="E229">
        <v>8.53</v>
      </c>
      <c r="G229" s="16">
        <v>41368</v>
      </c>
      <c r="H229">
        <v>7.85</v>
      </c>
      <c r="J229" s="16">
        <v>41368</v>
      </c>
      <c r="K229">
        <v>8.21</v>
      </c>
      <c r="M229" s="16">
        <v>41360</v>
      </c>
      <c r="N229">
        <v>6.99</v>
      </c>
      <c r="P229" s="16">
        <v>41360</v>
      </c>
      <c r="Q229">
        <v>7.16</v>
      </c>
      <c r="R229">
        <f t="shared" si="11"/>
        <v>-8</v>
      </c>
      <c r="T229">
        <f t="shared" si="7"/>
        <v>1.0002681517643632</v>
      </c>
      <c r="U229">
        <f t="shared" si="8"/>
        <v>1.0328189696208192</v>
      </c>
      <c r="W229">
        <f t="shared" si="9"/>
        <v>1.0002744537614499</v>
      </c>
      <c r="X229">
        <f t="shared" si="10"/>
        <v>1.0334439555457606</v>
      </c>
    </row>
    <row r="230" spans="1:26" ht="12.75">
      <c r="A230" s="16">
        <v>41369</v>
      </c>
      <c r="B230">
        <v>8.66</v>
      </c>
      <c r="D230" s="16">
        <v>41369</v>
      </c>
      <c r="E230">
        <v>8.4</v>
      </c>
      <c r="G230" s="16">
        <v>41369</v>
      </c>
      <c r="H230">
        <v>7.76</v>
      </c>
      <c r="J230" s="16">
        <v>41369</v>
      </c>
      <c r="K230">
        <v>8.1</v>
      </c>
      <c r="M230" s="16">
        <v>41361</v>
      </c>
      <c r="N230">
        <v>7.01</v>
      </c>
      <c r="P230" s="16">
        <v>41361</v>
      </c>
      <c r="Q230">
        <v>7.16</v>
      </c>
      <c r="R230">
        <f t="shared" si="11"/>
        <v>-8</v>
      </c>
      <c r="T230">
        <f t="shared" si="7"/>
        <v>1.0002688936932504</v>
      </c>
      <c r="U230">
        <f t="shared" si="8"/>
        <v>1.0330959218497908</v>
      </c>
      <c r="W230">
        <f t="shared" si="9"/>
        <v>1.0002744537614499</v>
      </c>
      <c r="X230">
        <f t="shared" si="10"/>
        <v>1.0337275881266077</v>
      </c>
      <c r="Z230">
        <f>(U231/U171)^(252/60)-1</f>
        <v>0.0695816287244071</v>
      </c>
    </row>
    <row r="231" spans="1:29" ht="12.75">
      <c r="A231" s="16">
        <v>41372</v>
      </c>
      <c r="B231">
        <v>8.68</v>
      </c>
      <c r="D231" s="16">
        <v>41372</v>
      </c>
      <c r="E231">
        <v>8.43</v>
      </c>
      <c r="G231" s="16">
        <v>41372</v>
      </c>
      <c r="H231">
        <v>7.8100000000000005</v>
      </c>
      <c r="J231" s="16">
        <v>41372</v>
      </c>
      <c r="K231">
        <v>8.13</v>
      </c>
      <c r="M231" s="16">
        <v>41365</v>
      </c>
      <c r="N231">
        <v>7.02</v>
      </c>
      <c r="P231" s="16">
        <v>41365</v>
      </c>
      <c r="Q231">
        <v>7.16</v>
      </c>
      <c r="R231">
        <f t="shared" si="11"/>
        <v>-7</v>
      </c>
      <c r="U231" s="296">
        <f t="shared" si="8"/>
        <v>1.033373714827699</v>
      </c>
      <c r="W231">
        <f t="shared" si="9"/>
        <v>1.0002744537614499</v>
      </c>
      <c r="X231" s="296">
        <f t="shared" si="10"/>
        <v>1.0340112985514835</v>
      </c>
      <c r="Z231">
        <f>U231^(252/122)-1</f>
        <v>0.07016251130402429</v>
      </c>
      <c r="AC231">
        <f>X231^(252/122)-1</f>
        <v>0.0715268210978981</v>
      </c>
    </row>
    <row r="232" spans="1:18" ht="12.75">
      <c r="A232" s="16">
        <v>41373</v>
      </c>
      <c r="B232">
        <v>8.73</v>
      </c>
      <c r="D232" s="16">
        <v>41373</v>
      </c>
      <c r="E232">
        <v>8.48</v>
      </c>
      <c r="G232" s="16">
        <v>41373</v>
      </c>
      <c r="H232">
        <v>7.88</v>
      </c>
      <c r="J232" s="16">
        <v>41373</v>
      </c>
      <c r="K232">
        <v>8.2</v>
      </c>
      <c r="M232" s="16">
        <v>41366</v>
      </c>
      <c r="N232">
        <v>7.02</v>
      </c>
      <c r="P232" s="16">
        <v>41366</v>
      </c>
      <c r="Q232">
        <v>7.16</v>
      </c>
      <c r="R232">
        <f t="shared" si="11"/>
        <v>-7</v>
      </c>
    </row>
    <row r="233" spans="1:18" ht="12.75">
      <c r="A233" s="16">
        <v>41374</v>
      </c>
      <c r="B233">
        <v>8.71</v>
      </c>
      <c r="D233" s="16">
        <v>41374</v>
      </c>
      <c r="E233">
        <v>8.48</v>
      </c>
      <c r="G233" s="16">
        <v>41374</v>
      </c>
      <c r="H233">
        <v>7.9</v>
      </c>
      <c r="J233" s="16">
        <v>41374</v>
      </c>
      <c r="K233">
        <v>8.21</v>
      </c>
      <c r="M233" s="16">
        <v>41367</v>
      </c>
      <c r="N233">
        <v>7.01</v>
      </c>
      <c r="P233" s="16">
        <v>41367</v>
      </c>
      <c r="Q233">
        <v>7.16</v>
      </c>
      <c r="R233">
        <f t="shared" si="11"/>
        <v>-7</v>
      </c>
    </row>
    <row r="234" spans="1:18" ht="12.75">
      <c r="A234" s="16">
        <v>41375</v>
      </c>
      <c r="B234">
        <v>8.75</v>
      </c>
      <c r="D234" s="16">
        <v>41375</v>
      </c>
      <c r="E234">
        <v>8.5</v>
      </c>
      <c r="G234" s="16">
        <v>41375</v>
      </c>
      <c r="H234">
        <v>7.92</v>
      </c>
      <c r="J234" s="16">
        <v>41375</v>
      </c>
      <c r="K234">
        <v>8.22</v>
      </c>
      <c r="M234" s="16">
        <v>41368</v>
      </c>
      <c r="N234">
        <v>7.01</v>
      </c>
      <c r="P234" s="16">
        <v>41368</v>
      </c>
      <c r="Q234">
        <v>7.16</v>
      </c>
      <c r="R234">
        <f t="shared" si="11"/>
        <v>-7</v>
      </c>
    </row>
    <row r="235" spans="1:18" ht="12.75">
      <c r="A235" s="16">
        <v>41376</v>
      </c>
      <c r="B235">
        <v>8.88</v>
      </c>
      <c r="D235" s="16">
        <v>41376</v>
      </c>
      <c r="E235">
        <v>8.67</v>
      </c>
      <c r="G235" s="16">
        <v>41376</v>
      </c>
      <c r="H235">
        <v>8.17</v>
      </c>
      <c r="J235" s="16">
        <v>41376</v>
      </c>
      <c r="K235">
        <v>8.44</v>
      </c>
      <c r="M235" s="16">
        <v>41369</v>
      </c>
      <c r="N235">
        <v>7.01</v>
      </c>
      <c r="P235" s="16">
        <v>41369</v>
      </c>
      <c r="Q235">
        <v>7.16</v>
      </c>
      <c r="R235">
        <f t="shared" si="11"/>
        <v>-7</v>
      </c>
    </row>
    <row r="236" spans="1:18" ht="12.75">
      <c r="A236" s="16">
        <v>41379</v>
      </c>
      <c r="B236">
        <v>8.93</v>
      </c>
      <c r="D236" s="16">
        <v>41379</v>
      </c>
      <c r="E236">
        <v>8.7</v>
      </c>
      <c r="G236" s="16">
        <v>41379</v>
      </c>
      <c r="H236">
        <v>8.21</v>
      </c>
      <c r="J236" s="16">
        <v>41379</v>
      </c>
      <c r="K236">
        <v>8.48</v>
      </c>
      <c r="M236" s="16">
        <v>41372</v>
      </c>
      <c r="N236">
        <v>7.01</v>
      </c>
      <c r="P236" s="16">
        <v>41372</v>
      </c>
      <c r="Q236">
        <v>7.16</v>
      </c>
      <c r="R236">
        <f t="shared" si="11"/>
        <v>-7</v>
      </c>
    </row>
    <row r="237" spans="1:18" ht="12.75">
      <c r="A237" s="16">
        <v>41380</v>
      </c>
      <c r="B237">
        <v>8.88</v>
      </c>
      <c r="D237" s="16">
        <v>41380</v>
      </c>
      <c r="E237">
        <v>8.66</v>
      </c>
      <c r="G237" s="16">
        <v>41380</v>
      </c>
      <c r="H237">
        <v>8.23</v>
      </c>
      <c r="J237" s="16">
        <v>41380</v>
      </c>
      <c r="K237">
        <v>8.45</v>
      </c>
      <c r="M237" s="16">
        <v>41373</v>
      </c>
      <c r="N237">
        <v>7.01</v>
      </c>
      <c r="P237" s="16">
        <v>41373</v>
      </c>
      <c r="Q237">
        <v>7.16</v>
      </c>
      <c r="R237">
        <f t="shared" si="11"/>
        <v>-7</v>
      </c>
    </row>
    <row r="238" spans="1:18" ht="12.75">
      <c r="A238" s="16">
        <v>41381</v>
      </c>
      <c r="B238">
        <v>8.84</v>
      </c>
      <c r="D238" s="16">
        <v>41381</v>
      </c>
      <c r="E238">
        <v>8.63</v>
      </c>
      <c r="G238" s="16">
        <v>41381</v>
      </c>
      <c r="H238">
        <v>8.23</v>
      </c>
      <c r="J238" s="16">
        <v>41381</v>
      </c>
      <c r="K238">
        <v>8.43</v>
      </c>
      <c r="M238" s="16">
        <v>41374</v>
      </c>
      <c r="N238">
        <v>7.01</v>
      </c>
      <c r="P238" s="16">
        <v>41374</v>
      </c>
      <c r="Q238">
        <v>7.16</v>
      </c>
      <c r="R238">
        <f t="shared" si="11"/>
        <v>-7</v>
      </c>
    </row>
    <row r="239" spans="1:18" ht="12.75">
      <c r="A239" s="16">
        <v>41382</v>
      </c>
      <c r="B239">
        <v>8.54</v>
      </c>
      <c r="D239" s="16">
        <v>41382</v>
      </c>
      <c r="E239">
        <v>8.3</v>
      </c>
      <c r="G239" s="16">
        <v>41382</v>
      </c>
      <c r="H239">
        <v>7.84</v>
      </c>
      <c r="J239" s="16">
        <v>41382</v>
      </c>
      <c r="K239">
        <v>8.07</v>
      </c>
      <c r="M239" s="16">
        <v>41375</v>
      </c>
      <c r="N239">
        <v>7.01</v>
      </c>
      <c r="P239" s="16">
        <v>41375</v>
      </c>
      <c r="Q239">
        <v>7.16</v>
      </c>
      <c r="R239">
        <f t="shared" si="11"/>
        <v>-7</v>
      </c>
    </row>
    <row r="240" spans="1:18" ht="12.75">
      <c r="A240" s="16">
        <v>41383</v>
      </c>
      <c r="B240">
        <v>8.59</v>
      </c>
      <c r="D240" s="16">
        <v>41383</v>
      </c>
      <c r="E240">
        <v>8.35</v>
      </c>
      <c r="G240" s="16">
        <v>41383</v>
      </c>
      <c r="H240">
        <v>7.87</v>
      </c>
      <c r="J240" s="16">
        <v>41383</v>
      </c>
      <c r="K240">
        <v>8.12</v>
      </c>
      <c r="M240" s="16">
        <v>41376</v>
      </c>
      <c r="N240">
        <v>7.01</v>
      </c>
      <c r="P240" s="16">
        <v>41376</v>
      </c>
      <c r="Q240">
        <v>7.16</v>
      </c>
      <c r="R240">
        <f t="shared" si="11"/>
        <v>-7</v>
      </c>
    </row>
    <row r="241" spans="1:18" ht="12.75">
      <c r="A241" s="16">
        <v>41386</v>
      </c>
      <c r="B241">
        <v>8.54</v>
      </c>
      <c r="D241" s="16">
        <v>41386</v>
      </c>
      <c r="E241">
        <v>8.29</v>
      </c>
      <c r="G241" s="16">
        <v>41386</v>
      </c>
      <c r="H241">
        <v>7.82</v>
      </c>
      <c r="J241" s="16">
        <v>41386</v>
      </c>
      <c r="K241">
        <v>8.06</v>
      </c>
      <c r="M241" s="16">
        <v>41379</v>
      </c>
      <c r="N241">
        <v>7.01</v>
      </c>
      <c r="P241" s="16">
        <v>41379</v>
      </c>
      <c r="Q241">
        <v>7.16</v>
      </c>
      <c r="R241">
        <f t="shared" si="11"/>
        <v>-7</v>
      </c>
    </row>
    <row r="242" spans="1:18" ht="12.75">
      <c r="A242" s="16">
        <v>41387</v>
      </c>
      <c r="B242">
        <v>8.5</v>
      </c>
      <c r="D242" s="16">
        <v>41387</v>
      </c>
      <c r="E242">
        <v>8.25</v>
      </c>
      <c r="G242" s="16">
        <v>41387</v>
      </c>
      <c r="H242">
        <v>7.8100000000000005</v>
      </c>
      <c r="J242" s="16">
        <v>41387</v>
      </c>
      <c r="K242">
        <v>8.04</v>
      </c>
      <c r="M242" s="16">
        <v>41380</v>
      </c>
      <c r="N242">
        <v>7</v>
      </c>
      <c r="P242" s="16">
        <v>41380</v>
      </c>
      <c r="Q242">
        <v>7.16</v>
      </c>
      <c r="R242">
        <f t="shared" si="11"/>
        <v>-7</v>
      </c>
    </row>
    <row r="243" spans="1:18" ht="12.75">
      <c r="A243" s="16">
        <v>41388</v>
      </c>
      <c r="B243">
        <v>8.51</v>
      </c>
      <c r="D243" s="16">
        <v>41388</v>
      </c>
      <c r="E243">
        <v>8.28</v>
      </c>
      <c r="G243" s="16">
        <v>41388</v>
      </c>
      <c r="H243">
        <v>7.83</v>
      </c>
      <c r="J243" s="16">
        <v>41388</v>
      </c>
      <c r="K243">
        <v>8.06</v>
      </c>
      <c r="M243" s="16">
        <v>41381</v>
      </c>
      <c r="N243">
        <v>7</v>
      </c>
      <c r="P243" s="16">
        <v>41381</v>
      </c>
      <c r="Q243">
        <v>7.16</v>
      </c>
      <c r="R243">
        <f t="shared" si="11"/>
        <v>-7</v>
      </c>
    </row>
    <row r="244" spans="1:18" ht="12.75">
      <c r="A244" s="16">
        <v>41389</v>
      </c>
      <c r="B244">
        <v>8.59</v>
      </c>
      <c r="D244" s="16">
        <v>41389</v>
      </c>
      <c r="E244">
        <v>8.36</v>
      </c>
      <c r="G244" s="16">
        <v>41389</v>
      </c>
      <c r="H244">
        <v>7.93</v>
      </c>
      <c r="J244" s="16">
        <v>41389</v>
      </c>
      <c r="K244">
        <v>8.14</v>
      </c>
      <c r="M244" s="16">
        <v>41382</v>
      </c>
      <c r="N244">
        <v>7.24</v>
      </c>
      <c r="P244" s="16">
        <v>41382</v>
      </c>
      <c r="Q244">
        <v>7.41</v>
      </c>
      <c r="R244">
        <f t="shared" si="11"/>
        <v>-7</v>
      </c>
    </row>
    <row r="245" spans="1:18" ht="12.75">
      <c r="A245" s="16">
        <v>41390</v>
      </c>
      <c r="B245">
        <v>8.51</v>
      </c>
      <c r="D245" s="16">
        <v>41390</v>
      </c>
      <c r="E245">
        <v>8.28</v>
      </c>
      <c r="G245" s="16">
        <v>41390</v>
      </c>
      <c r="H245">
        <v>7.91</v>
      </c>
      <c r="J245" s="16">
        <v>41390</v>
      </c>
      <c r="K245">
        <v>8.08</v>
      </c>
      <c r="M245" s="16">
        <v>41383</v>
      </c>
      <c r="N245">
        <v>7.24</v>
      </c>
      <c r="P245" s="16">
        <v>41383</v>
      </c>
      <c r="Q245">
        <v>7.41</v>
      </c>
      <c r="R245">
        <f t="shared" si="11"/>
        <v>-7</v>
      </c>
    </row>
    <row r="246" spans="1:18" ht="12.75">
      <c r="A246" s="16">
        <v>41393</v>
      </c>
      <c r="B246">
        <v>8.47</v>
      </c>
      <c r="D246" s="16">
        <v>41393</v>
      </c>
      <c r="E246">
        <v>8.24</v>
      </c>
      <c r="G246" s="16">
        <v>41393</v>
      </c>
      <c r="H246">
        <v>7.9</v>
      </c>
      <c r="J246" s="16">
        <v>41393</v>
      </c>
      <c r="K246">
        <v>8.07</v>
      </c>
      <c r="M246" s="16">
        <v>41386</v>
      </c>
      <c r="N246">
        <v>7.24</v>
      </c>
      <c r="P246" s="16">
        <v>41386</v>
      </c>
      <c r="Q246">
        <v>7.4</v>
      </c>
      <c r="R246">
        <f t="shared" si="11"/>
        <v>-7</v>
      </c>
    </row>
    <row r="247" spans="1:18" ht="12.75">
      <c r="A247" s="16">
        <v>41394</v>
      </c>
      <c r="B247">
        <v>8.47</v>
      </c>
      <c r="D247" s="16">
        <v>41394</v>
      </c>
      <c r="E247">
        <v>8.25</v>
      </c>
      <c r="G247" s="16">
        <v>41394</v>
      </c>
      <c r="H247">
        <v>7.91</v>
      </c>
      <c r="J247" s="16">
        <v>41394</v>
      </c>
      <c r="K247">
        <v>8.08</v>
      </c>
      <c r="M247" s="16">
        <v>41387</v>
      </c>
      <c r="N247">
        <v>7.24</v>
      </c>
      <c r="P247" s="16">
        <v>41387</v>
      </c>
      <c r="Q247">
        <v>7.4</v>
      </c>
      <c r="R247">
        <f t="shared" si="11"/>
        <v>-7</v>
      </c>
    </row>
    <row r="248" spans="1:18" ht="12.75">
      <c r="A248" s="16">
        <v>41396</v>
      </c>
      <c r="B248">
        <v>8.41</v>
      </c>
      <c r="D248" s="16">
        <v>41396</v>
      </c>
      <c r="E248">
        <v>8.2</v>
      </c>
      <c r="G248" s="16">
        <v>41396</v>
      </c>
      <c r="H248">
        <v>7.87</v>
      </c>
      <c r="J248" s="16">
        <v>41396</v>
      </c>
      <c r="K248">
        <v>8.03</v>
      </c>
      <c r="M248" s="16">
        <v>41388</v>
      </c>
      <c r="N248">
        <v>7.24</v>
      </c>
      <c r="P248" s="16">
        <v>41388</v>
      </c>
      <c r="Q248">
        <v>7.4</v>
      </c>
      <c r="R248">
        <f t="shared" si="11"/>
        <v>-8</v>
      </c>
    </row>
    <row r="249" spans="7:18" ht="12.75">
      <c r="G249" s="16"/>
      <c r="M249" s="16">
        <v>41389</v>
      </c>
      <c r="N249">
        <v>7.24</v>
      </c>
      <c r="P249" s="16">
        <v>41389</v>
      </c>
      <c r="Q249">
        <v>7.4</v>
      </c>
      <c r="R249">
        <f t="shared" si="11"/>
        <v>41389</v>
      </c>
    </row>
    <row r="250" spans="7:18" ht="12.75">
      <c r="G250" s="16"/>
      <c r="M250" s="16">
        <v>41390</v>
      </c>
      <c r="N250">
        <v>7.23</v>
      </c>
      <c r="P250" s="16">
        <v>41390</v>
      </c>
      <c r="Q250">
        <v>7.4</v>
      </c>
      <c r="R250">
        <f t="shared" si="11"/>
        <v>41390</v>
      </c>
    </row>
    <row r="251" spans="7:18" ht="12.75">
      <c r="G251" s="16"/>
      <c r="M251" s="16">
        <v>41393</v>
      </c>
      <c r="N251">
        <v>7.23</v>
      </c>
      <c r="P251" s="16">
        <v>41393</v>
      </c>
      <c r="Q251">
        <v>7.4</v>
      </c>
      <c r="R251">
        <f t="shared" si="11"/>
        <v>41393</v>
      </c>
    </row>
    <row r="252" spans="7:18" ht="12.75">
      <c r="G252" s="16"/>
      <c r="M252" s="16">
        <v>41394</v>
      </c>
      <c r="N252">
        <v>7.23</v>
      </c>
      <c r="P252" s="16">
        <v>41394</v>
      </c>
      <c r="Q252">
        <v>7.4</v>
      </c>
      <c r="R252">
        <f t="shared" si="11"/>
        <v>41394</v>
      </c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  <row r="313" ht="12.75">
      <c r="G313" s="16"/>
    </row>
    <row r="314" ht="12.75">
      <c r="G314" s="16"/>
    </row>
    <row r="315" ht="12.75">
      <c r="G315" s="16"/>
    </row>
    <row r="316" ht="12.75">
      <c r="G316" s="16"/>
    </row>
    <row r="317" ht="12.75">
      <c r="G317" s="16"/>
    </row>
    <row r="318" ht="12.75">
      <c r="G318" s="16"/>
    </row>
    <row r="319" ht="12.75">
      <c r="G319" s="16"/>
    </row>
    <row r="320" ht="12.75">
      <c r="G320" s="16"/>
    </row>
    <row r="321" ht="12.75">
      <c r="G321" s="16"/>
    </row>
    <row r="322" ht="12.75">
      <c r="G322" s="16"/>
    </row>
    <row r="323" ht="12.75">
      <c r="G323" s="16"/>
    </row>
    <row r="324" ht="12.75">
      <c r="G324" s="16"/>
    </row>
    <row r="325" ht="12.75">
      <c r="G325" s="16"/>
    </row>
    <row r="326" ht="12.75">
      <c r="G326" s="16"/>
    </row>
    <row r="327" ht="12.75">
      <c r="G327" s="16"/>
    </row>
    <row r="328" ht="12.75">
      <c r="G328" s="16"/>
    </row>
    <row r="329" ht="12.75">
      <c r="G329" s="16"/>
    </row>
    <row r="330" ht="12.75">
      <c r="G330" s="16"/>
    </row>
    <row r="331" ht="12.75">
      <c r="G331" s="16"/>
    </row>
    <row r="332" ht="12.75">
      <c r="G332" s="16"/>
    </row>
    <row r="333" ht="12.75">
      <c r="G333" s="16"/>
    </row>
    <row r="334" ht="12.75">
      <c r="G334" s="16"/>
    </row>
    <row r="335" ht="12.75">
      <c r="G335" s="16"/>
    </row>
    <row r="336" ht="12.75">
      <c r="G336" s="16"/>
    </row>
    <row r="337" ht="12.75">
      <c r="G337" s="16"/>
    </row>
    <row r="338" ht="12.75">
      <c r="G338" s="16"/>
    </row>
    <row r="339" ht="12.75">
      <c r="G339" s="16"/>
    </row>
    <row r="340" ht="12.75">
      <c r="G340" s="16"/>
    </row>
    <row r="341" ht="12.75">
      <c r="G341" s="16"/>
    </row>
    <row r="342" ht="12.75">
      <c r="G342" s="16"/>
    </row>
    <row r="343" ht="12.75">
      <c r="G343" s="16"/>
    </row>
    <row r="344" ht="12.75">
      <c r="G344" s="16"/>
    </row>
    <row r="345" ht="12.75">
      <c r="G345" s="16"/>
    </row>
    <row r="346" ht="12.75">
      <c r="G346" s="16"/>
    </row>
    <row r="347" ht="12.75">
      <c r="G347" s="16"/>
    </row>
    <row r="348" ht="12.75">
      <c r="G348" s="16"/>
    </row>
    <row r="349" ht="12.75">
      <c r="G349" s="16"/>
    </row>
    <row r="350" ht="12.75">
      <c r="G350" s="16"/>
    </row>
    <row r="351" ht="12.75">
      <c r="G351" s="16"/>
    </row>
    <row r="352" ht="12.75">
      <c r="G352" s="16"/>
    </row>
    <row r="353" ht="12.75">
      <c r="G353" s="16"/>
    </row>
    <row r="354" ht="12.75">
      <c r="G354" s="16"/>
    </row>
    <row r="355" ht="12.75">
      <c r="G355" s="16"/>
    </row>
    <row r="356" ht="12.75">
      <c r="G356" s="16"/>
    </row>
    <row r="357" ht="12.75">
      <c r="G357" s="16"/>
    </row>
    <row r="358" ht="12.75">
      <c r="G358" s="16"/>
    </row>
    <row r="359" ht="12.75">
      <c r="G359" s="16"/>
    </row>
    <row r="360" ht="12.75">
      <c r="G360" s="16"/>
    </row>
    <row r="361" ht="12.75">
      <c r="G361" s="16"/>
    </row>
    <row r="362" ht="12.75">
      <c r="G362" s="16"/>
    </row>
    <row r="363" ht="12.75">
      <c r="G363" s="16"/>
    </row>
    <row r="364" ht="12.75">
      <c r="G364" s="16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  <row r="480" ht="12.75">
      <c r="G480" s="16"/>
    </row>
    <row r="481" ht="12.75">
      <c r="G481" s="16"/>
    </row>
    <row r="482" ht="12.75">
      <c r="G482" s="16"/>
    </row>
    <row r="483" ht="12.75">
      <c r="G483" s="16"/>
    </row>
    <row r="484" ht="12.75">
      <c r="G484" s="16"/>
    </row>
    <row r="485" ht="12.75">
      <c r="G485" s="16"/>
    </row>
    <row r="486" ht="12.75">
      <c r="G486" s="16"/>
    </row>
    <row r="487" ht="12.75">
      <c r="G487" s="16"/>
    </row>
    <row r="488" ht="12.75">
      <c r="G488" s="16"/>
    </row>
    <row r="489" ht="12.75">
      <c r="G489" s="16"/>
    </row>
    <row r="490" ht="12.75">
      <c r="G490" s="16"/>
    </row>
    <row r="491" ht="12.75">
      <c r="G491" s="16"/>
    </row>
    <row r="492" ht="12.75">
      <c r="G492" s="16"/>
    </row>
    <row r="493" ht="12.75">
      <c r="G493" s="16"/>
    </row>
    <row r="494" ht="12.75">
      <c r="G494" s="16"/>
    </row>
    <row r="495" ht="12.75">
      <c r="G495" s="16"/>
    </row>
    <row r="496" ht="12.75">
      <c r="G496" s="16"/>
    </row>
    <row r="497" ht="12.75">
      <c r="G497" s="16"/>
    </row>
    <row r="498" ht="12.75">
      <c r="G498" s="16"/>
    </row>
    <row r="499" ht="12.75">
      <c r="G499" s="1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/>
  <dimension ref="A1:P550"/>
  <sheetViews>
    <sheetView zoomScalePageLayoutView="0" workbookViewId="0" topLeftCell="F1">
      <pane ySplit="2" topLeftCell="A87" activePane="bottomLeft" state="frozen"/>
      <selection pane="topLeft" activeCell="A1" sqref="A1"/>
      <selection pane="bottomLeft" activeCell="S145" sqref="S145"/>
    </sheetView>
  </sheetViews>
  <sheetFormatPr defaultColWidth="9.140625" defaultRowHeight="12.75"/>
  <cols>
    <col min="1" max="1" width="12.7109375" style="0" bestFit="1" customWidth="1"/>
    <col min="2" max="2" width="10.57421875" style="0" customWidth="1"/>
    <col min="3" max="3" width="9.421875" style="0" bestFit="1" customWidth="1"/>
    <col min="4" max="4" width="10.421875" style="0" customWidth="1"/>
    <col min="5" max="5" width="9.421875" style="0" bestFit="1" customWidth="1"/>
    <col min="6" max="6" width="10.28125" style="0" customWidth="1"/>
    <col min="7" max="7" width="9.421875" style="0" bestFit="1" customWidth="1"/>
    <col min="8" max="8" width="10.7109375" style="0" customWidth="1"/>
    <col min="9" max="11" width="9.421875" style="0" bestFit="1" customWidth="1"/>
    <col min="12" max="12" width="9.421875" style="235" bestFit="1" customWidth="1"/>
    <col min="13" max="13" width="10.421875" style="235" bestFit="1" customWidth="1"/>
    <col min="14" max="14" width="10.28125" style="235" customWidth="1"/>
    <col min="15" max="15" width="10.140625" style="235" bestFit="1" customWidth="1"/>
    <col min="16" max="16" width="12.8515625" style="235" bestFit="1" customWidth="1"/>
    <col min="17" max="18" width="9.140625" style="235" customWidth="1"/>
    <col min="19" max="19" width="13.140625" style="235" bestFit="1" customWidth="1"/>
    <col min="20" max="21" width="9.140625" style="235" customWidth="1"/>
    <col min="22" max="22" width="12.8515625" style="235" bestFit="1" customWidth="1"/>
    <col min="23" max="24" width="9.140625" style="235" customWidth="1"/>
    <col min="25" max="25" width="13.140625" style="235" bestFit="1" customWidth="1"/>
    <col min="26" max="16384" width="9.140625" style="235" customWidth="1"/>
  </cols>
  <sheetData>
    <row r="1" spans="1:14" s="3" customFormat="1" ht="12.75">
      <c r="A1" s="140"/>
      <c r="B1" s="141">
        <v>41640</v>
      </c>
      <c r="C1" s="141"/>
      <c r="D1" s="141">
        <v>41821</v>
      </c>
      <c r="E1" s="141"/>
      <c r="F1" s="141">
        <v>42005</v>
      </c>
      <c r="G1" s="141"/>
      <c r="H1" s="141">
        <v>42186</v>
      </c>
      <c r="I1" s="141"/>
      <c r="J1" s="46" t="s">
        <v>115</v>
      </c>
      <c r="K1" s="133" t="s">
        <v>130</v>
      </c>
      <c r="M1" s="134" t="s">
        <v>125</v>
      </c>
      <c r="N1" s="142">
        <f ca="1">TODAY()</f>
        <v>41413</v>
      </c>
    </row>
    <row r="2" spans="1:9" ht="12.75">
      <c r="A2" s="46" t="s">
        <v>122</v>
      </c>
      <c r="B2" s="138">
        <v>41642</v>
      </c>
      <c r="C2" s="138" t="s">
        <v>56</v>
      </c>
      <c r="D2" s="138">
        <v>41821</v>
      </c>
      <c r="E2" s="138" t="s">
        <v>56</v>
      </c>
      <c r="F2" s="138">
        <v>42006</v>
      </c>
      <c r="G2" s="138" t="s">
        <v>56</v>
      </c>
      <c r="H2" s="138">
        <v>42187</v>
      </c>
      <c r="I2" s="138" t="s">
        <v>56</v>
      </c>
    </row>
    <row r="3" spans="1:15" ht="12.75">
      <c r="A3" s="16">
        <v>41031</v>
      </c>
      <c r="B3">
        <v>8.54</v>
      </c>
      <c r="C3" s="143">
        <f>_XLL.DIATRABALHOTOTAL(A3,$B$2,Feriado!$A$1:$L$62)-1</f>
        <v>422</v>
      </c>
      <c r="D3">
        <v>8.87</v>
      </c>
      <c r="E3" s="143">
        <f>_XLL.DIATRABALHOTOTAL(A3,$D$2,Feriado!$A$1:$L$62)-1</f>
        <v>543</v>
      </c>
      <c r="F3">
        <v>9.17</v>
      </c>
      <c r="G3" s="143">
        <f>_XLL.DIATRABALHOTOTAL(A3,$F$2,Feriado!$A$1:$L$62)-1</f>
        <v>674</v>
      </c>
      <c r="H3">
        <v>9.35</v>
      </c>
      <c r="I3" s="143">
        <f>_XLL.DIATRABALHOTOTAL(A3,$H$2,Feriado!$A$1:$L$62)-1</f>
        <v>797</v>
      </c>
      <c r="J3" s="235">
        <v>8.76</v>
      </c>
      <c r="K3" s="235">
        <v>8.9</v>
      </c>
      <c r="L3" s="235">
        <f>(1+J3/100)^(1/252)</f>
        <v>1.0003332834383984</v>
      </c>
      <c r="M3" s="235">
        <f>(1+K3/100)^(1/252)</f>
        <v>1.0003383899550586</v>
      </c>
      <c r="O3" s="270"/>
    </row>
    <row r="4" spans="1:15" ht="12.75">
      <c r="A4" s="16">
        <v>41032</v>
      </c>
      <c r="B4">
        <v>8.51</v>
      </c>
      <c r="C4" s="143">
        <f>_XLL.DIATRABALHOTOTAL(A4,$B$2,Feriado!$A$1:$L$62)-1</f>
        <v>421</v>
      </c>
      <c r="D4">
        <v>8.83</v>
      </c>
      <c r="E4" s="143">
        <f>_XLL.DIATRABALHOTOTAL(A4,$D$2,Feriado!$A$1:$L$62)-1</f>
        <v>542</v>
      </c>
      <c r="F4">
        <v>9.14</v>
      </c>
      <c r="G4" s="143">
        <f>_XLL.DIATRABALHOTOTAL(A4,$F$2,Feriado!$A$1:$L$62)-1</f>
        <v>673</v>
      </c>
      <c r="H4">
        <v>9.36</v>
      </c>
      <c r="I4" s="143">
        <f>_XLL.DIATRABALHOTOTAL(A4,$H$2,Feriado!$A$1:$L$62)-1</f>
        <v>796</v>
      </c>
      <c r="J4" s="235">
        <v>8.76</v>
      </c>
      <c r="K4" s="235">
        <v>8.9</v>
      </c>
      <c r="L4" s="235">
        <f aca="true" t="shared" si="0" ref="L4:L67">(1+J4/100)^(1/252)</f>
        <v>1.0003332834383984</v>
      </c>
      <c r="M4" s="235">
        <f>L4*M3</f>
        <v>1.0006717861732248</v>
      </c>
      <c r="O4" s="270"/>
    </row>
    <row r="5" spans="1:15" ht="12.75">
      <c r="A5" s="16">
        <v>41033</v>
      </c>
      <c r="B5">
        <v>8.28</v>
      </c>
      <c r="C5" s="143">
        <f>_XLL.DIATRABALHOTOTAL(A5,$B$2,Feriado!$A$1:$L$62)-1</f>
        <v>420</v>
      </c>
      <c r="D5">
        <v>8.54</v>
      </c>
      <c r="E5" s="143">
        <f>_XLL.DIATRABALHOTOTAL(A5,$D$2,Feriado!$A$1:$L$62)-1</f>
        <v>541</v>
      </c>
      <c r="F5">
        <v>8.84</v>
      </c>
      <c r="G5" s="143">
        <f>_XLL.DIATRABALHOTOTAL(A5,$F$2,Feriado!$A$1:$L$62)-1</f>
        <v>672</v>
      </c>
      <c r="H5">
        <v>9.08</v>
      </c>
      <c r="I5" s="143">
        <f>_XLL.DIATRABALHOTOTAL(A5,$H$2,Feriado!$A$1:$L$62)-1</f>
        <v>795</v>
      </c>
      <c r="J5" s="235">
        <v>8.71</v>
      </c>
      <c r="K5" s="235">
        <v>8.9</v>
      </c>
      <c r="L5" s="235">
        <f t="shared" si="0"/>
        <v>1.0003314580956064</v>
      </c>
      <c r="M5" s="235">
        <f>L5*M4</f>
        <v>1.001003466937797</v>
      </c>
      <c r="O5" s="270"/>
    </row>
    <row r="6" spans="1:15" ht="12.75">
      <c r="A6" s="16">
        <v>41036</v>
      </c>
      <c r="B6">
        <v>8.24</v>
      </c>
      <c r="C6" s="143">
        <f>_XLL.DIATRABALHOTOTAL(A6,$B$2,Feriado!$A$1:$L$62)-1</f>
        <v>419</v>
      </c>
      <c r="D6">
        <v>8.47</v>
      </c>
      <c r="E6" s="143">
        <f>_XLL.DIATRABALHOTOTAL(A6,$D$2,Feriado!$A$1:$L$62)-1</f>
        <v>540</v>
      </c>
      <c r="F6">
        <v>8.76</v>
      </c>
      <c r="G6" s="143">
        <f>_XLL.DIATRABALHOTOTAL(A6,$F$2,Feriado!$A$1:$L$62)-1</f>
        <v>671</v>
      </c>
      <c r="H6">
        <v>8.97</v>
      </c>
      <c r="I6" s="143">
        <f>_XLL.DIATRABALHOTOTAL(A6,$H$2,Feriado!$A$1:$L$62)-1</f>
        <v>794</v>
      </c>
      <c r="J6" s="235">
        <v>8.71</v>
      </c>
      <c r="K6" s="235">
        <v>8.9</v>
      </c>
      <c r="L6" s="235">
        <f t="shared" si="0"/>
        <v>1.0003314580956064</v>
      </c>
      <c r="M6" s="235">
        <f aca="true" t="shared" si="1" ref="M6:M69">L6*M5</f>
        <v>1.0013352576406436</v>
      </c>
      <c r="O6" s="270"/>
    </row>
    <row r="7" spans="1:15" ht="12.75">
      <c r="A7" s="16">
        <v>41037</v>
      </c>
      <c r="B7">
        <v>8.38</v>
      </c>
      <c r="C7" s="143">
        <f>_XLL.DIATRABALHOTOTAL(A7,$B$2,Feriado!$A$1:$L$62)-1</f>
        <v>418</v>
      </c>
      <c r="D7">
        <v>8.68</v>
      </c>
      <c r="E7" s="143">
        <f>_XLL.DIATRABALHOTOTAL(A7,$D$2,Feriado!$A$1:$L$62)-1</f>
        <v>539</v>
      </c>
      <c r="F7">
        <v>8.96</v>
      </c>
      <c r="G7" s="143">
        <f>_XLL.DIATRABALHOTOTAL(A7,$F$2,Feriado!$A$1:$L$62)-1</f>
        <v>670</v>
      </c>
      <c r="H7">
        <v>9.2</v>
      </c>
      <c r="I7" s="143">
        <f>_XLL.DIATRABALHOTOTAL(A7,$H$2,Feriado!$A$1:$L$62)-1</f>
        <v>793</v>
      </c>
      <c r="J7" s="235">
        <v>8.69</v>
      </c>
      <c r="K7" s="235">
        <v>8.9</v>
      </c>
      <c r="L7" s="235">
        <f t="shared" si="0"/>
        <v>1.0003307277243385</v>
      </c>
      <c r="M7" s="235">
        <f t="shared" si="1"/>
        <v>1.001666426971703</v>
      </c>
      <c r="O7" s="270"/>
    </row>
    <row r="8" spans="1:15" ht="12.75">
      <c r="A8" s="16">
        <v>41038</v>
      </c>
      <c r="B8">
        <v>8.56</v>
      </c>
      <c r="C8" s="143">
        <f>_XLL.DIATRABALHOTOTAL(A8,$B$2,Feriado!$A$1:$L$62)-1</f>
        <v>417</v>
      </c>
      <c r="D8">
        <v>8.88</v>
      </c>
      <c r="E8" s="143">
        <f>_XLL.DIATRABALHOTOTAL(A8,$D$2,Feriado!$A$1:$L$62)-1</f>
        <v>538</v>
      </c>
      <c r="F8">
        <v>9.19</v>
      </c>
      <c r="G8" s="143">
        <f>_XLL.DIATRABALHOTOTAL(A8,$F$2,Feriado!$A$1:$L$62)-1</f>
        <v>669</v>
      </c>
      <c r="H8">
        <v>9.44</v>
      </c>
      <c r="I8" s="143">
        <f>_XLL.DIATRABALHOTOTAL(A8,$H$2,Feriado!$A$1:$L$62)-1</f>
        <v>792</v>
      </c>
      <c r="J8" s="235">
        <v>8.69</v>
      </c>
      <c r="K8" s="235">
        <v>8.9</v>
      </c>
      <c r="L8" s="235">
        <f t="shared" si="0"/>
        <v>1.0003307277243385</v>
      </c>
      <c r="M8" s="235">
        <f t="shared" si="1"/>
        <v>1.0019977058296416</v>
      </c>
      <c r="O8" s="270"/>
    </row>
    <row r="9" spans="1:15" ht="12.75">
      <c r="A9" s="16">
        <v>41039</v>
      </c>
      <c r="B9">
        <v>8.46</v>
      </c>
      <c r="C9" s="143">
        <f>_XLL.DIATRABALHOTOTAL(A9,$B$2,Feriado!$A$1:$L$62)-1</f>
        <v>416</v>
      </c>
      <c r="D9">
        <v>8.75</v>
      </c>
      <c r="E9" s="143">
        <f>_XLL.DIATRABALHOTOTAL(A9,$D$2,Feriado!$A$1:$L$62)-1</f>
        <v>537</v>
      </c>
      <c r="F9">
        <v>9.02</v>
      </c>
      <c r="G9" s="143">
        <f>_XLL.DIATRABALHOTOTAL(A9,$F$2,Feriado!$A$1:$L$62)-1</f>
        <v>668</v>
      </c>
      <c r="H9">
        <v>9.27</v>
      </c>
      <c r="I9" s="143">
        <f>_XLL.DIATRABALHOTOTAL(A9,$H$2,Feriado!$A$1:$L$62)-1</f>
        <v>791</v>
      </c>
      <c r="J9" s="235">
        <v>8.68</v>
      </c>
      <c r="K9" s="235">
        <v>8.9</v>
      </c>
      <c r="L9" s="235">
        <f t="shared" si="0"/>
        <v>1.000330362488505</v>
      </c>
      <c r="M9" s="235">
        <f t="shared" si="1"/>
        <v>1.0023287282852158</v>
      </c>
      <c r="O9" s="270"/>
    </row>
    <row r="10" spans="1:15" ht="12.75">
      <c r="A10" s="16">
        <v>41040</v>
      </c>
      <c r="B10">
        <v>8.47</v>
      </c>
      <c r="C10" s="143">
        <f>_XLL.DIATRABALHOTOTAL(A10,$B$2,Feriado!$A$1:$L$62)-1</f>
        <v>415</v>
      </c>
      <c r="D10">
        <v>8.76</v>
      </c>
      <c r="E10" s="143">
        <f>_XLL.DIATRABALHOTOTAL(A10,$D$2,Feriado!$A$1:$L$62)-1</f>
        <v>536</v>
      </c>
      <c r="F10">
        <v>9.06</v>
      </c>
      <c r="G10" s="143">
        <f>_XLL.DIATRABALHOTOTAL(A10,$F$2,Feriado!$A$1:$L$62)-1</f>
        <v>667</v>
      </c>
      <c r="H10">
        <v>9.3</v>
      </c>
      <c r="I10" s="143">
        <f>_XLL.DIATRABALHOTOTAL(A10,$H$2,Feriado!$A$1:$L$62)-1</f>
        <v>790</v>
      </c>
      <c r="J10" s="235">
        <v>8.68</v>
      </c>
      <c r="K10" s="235">
        <v>8.9</v>
      </c>
      <c r="L10" s="235">
        <f t="shared" si="0"/>
        <v>1.000330362488505</v>
      </c>
      <c r="M10" s="235">
        <f t="shared" si="1"/>
        <v>1.0026598600981922</v>
      </c>
      <c r="O10" s="270"/>
    </row>
    <row r="11" spans="1:15" ht="12.75">
      <c r="A11" s="16">
        <v>41043</v>
      </c>
      <c r="B11">
        <v>8.38</v>
      </c>
      <c r="C11" s="143">
        <f>_XLL.DIATRABALHOTOTAL(A11,$B$2,Feriado!$A$1:$L$62)-1</f>
        <v>414</v>
      </c>
      <c r="D11">
        <v>8.69</v>
      </c>
      <c r="E11" s="143">
        <f>_XLL.DIATRABALHOTOTAL(A11,$D$2,Feriado!$A$1:$L$62)-1</f>
        <v>535</v>
      </c>
      <c r="F11">
        <v>9.01</v>
      </c>
      <c r="G11" s="143">
        <f>_XLL.DIATRABALHOTOTAL(A11,$F$2,Feriado!$A$1:$L$62)-1</f>
        <v>666</v>
      </c>
      <c r="H11">
        <v>9.26</v>
      </c>
      <c r="I11" s="143">
        <f>_XLL.DIATRABALHOTOTAL(A11,$H$2,Feriado!$A$1:$L$62)-1</f>
        <v>789</v>
      </c>
      <c r="J11" s="235">
        <v>8.63</v>
      </c>
      <c r="K11" s="235">
        <v>8.89</v>
      </c>
      <c r="L11" s="235">
        <f t="shared" si="0"/>
        <v>1.000328535807093</v>
      </c>
      <c r="M11" s="235">
        <f t="shared" si="1"/>
        <v>1.0029892697645693</v>
      </c>
      <c r="O11" s="270"/>
    </row>
    <row r="12" spans="1:15" ht="12.75">
      <c r="A12" s="16">
        <v>41044</v>
      </c>
      <c r="B12">
        <v>8.32</v>
      </c>
      <c r="C12" s="143">
        <f>_XLL.DIATRABALHOTOTAL(A12,$B$2,Feriado!$A$1:$L$62)-1</f>
        <v>413</v>
      </c>
      <c r="D12">
        <v>8.62</v>
      </c>
      <c r="E12" s="143">
        <f>_XLL.DIATRABALHOTOTAL(A12,$D$2,Feriado!$A$1:$L$62)-1</f>
        <v>534</v>
      </c>
      <c r="F12">
        <v>8.93</v>
      </c>
      <c r="G12" s="143">
        <f>_XLL.DIATRABALHOTOTAL(A12,$F$2,Feriado!$A$1:$L$62)-1</f>
        <v>665</v>
      </c>
      <c r="H12">
        <v>9.2</v>
      </c>
      <c r="I12" s="143">
        <f>_XLL.DIATRABALHOTOTAL(A12,$H$2,Feriado!$A$1:$L$62)-1</f>
        <v>788</v>
      </c>
      <c r="J12" s="235">
        <v>8.72</v>
      </c>
      <c r="K12" s="235">
        <v>8.89</v>
      </c>
      <c r="L12" s="235">
        <f t="shared" si="0"/>
        <v>1.0003318232310527</v>
      </c>
      <c r="M12" s="235">
        <f t="shared" si="1"/>
        <v>1.0033220849047737</v>
      </c>
      <c r="O12" s="270"/>
    </row>
    <row r="13" spans="1:15" ht="12.75">
      <c r="A13" s="16">
        <v>41045</v>
      </c>
      <c r="B13">
        <v>8.21</v>
      </c>
      <c r="C13" s="143">
        <f>_XLL.DIATRABALHOTOTAL(A13,$B$2,Feriado!$A$1:$L$62)-1</f>
        <v>412</v>
      </c>
      <c r="D13">
        <v>8.5</v>
      </c>
      <c r="E13" s="143">
        <f>_XLL.DIATRABALHOTOTAL(A13,$D$2,Feriado!$A$1:$L$62)-1</f>
        <v>533</v>
      </c>
      <c r="F13">
        <v>8.84</v>
      </c>
      <c r="G13" s="143">
        <f>_XLL.DIATRABALHOTOTAL(A13,$F$2,Feriado!$A$1:$L$62)-1</f>
        <v>664</v>
      </c>
      <c r="H13">
        <v>9.09</v>
      </c>
      <c r="I13" s="143">
        <f>_XLL.DIATRABALHOTOTAL(A13,$H$2,Feriado!$A$1:$L$62)-1</f>
        <v>787</v>
      </c>
      <c r="J13" s="235">
        <v>8.73</v>
      </c>
      <c r="K13" s="235">
        <v>8.89</v>
      </c>
      <c r="L13" s="235">
        <f t="shared" si="0"/>
        <v>1.000332188333049</v>
      </c>
      <c r="M13" s="235">
        <f t="shared" si="1"/>
        <v>1.0036553767956693</v>
      </c>
      <c r="O13" s="270"/>
    </row>
    <row r="14" spans="1:15" ht="12.75">
      <c r="A14" s="16">
        <v>41046</v>
      </c>
      <c r="B14">
        <v>8.18</v>
      </c>
      <c r="C14" s="143">
        <f>_XLL.DIATRABALHOTOTAL(A14,$B$2,Feriado!$A$1:$L$62)-1</f>
        <v>411</v>
      </c>
      <c r="D14">
        <v>8.45</v>
      </c>
      <c r="E14" s="143">
        <f>_XLL.DIATRABALHOTOTAL(A14,$D$2,Feriado!$A$1:$L$62)-1</f>
        <v>532</v>
      </c>
      <c r="F14">
        <v>8.75</v>
      </c>
      <c r="G14" s="143">
        <f>_XLL.DIATRABALHOTOTAL(A14,$F$2,Feriado!$A$1:$L$62)-1</f>
        <v>663</v>
      </c>
      <c r="H14">
        <v>8.98</v>
      </c>
      <c r="I14" s="143">
        <f>_XLL.DIATRABALHOTOTAL(A14,$H$2,Feriado!$A$1:$L$62)-1</f>
        <v>786</v>
      </c>
      <c r="J14" s="235">
        <v>8.74</v>
      </c>
      <c r="K14" s="235">
        <v>8.89</v>
      </c>
      <c r="L14" s="235">
        <f t="shared" si="0"/>
        <v>1.0003325534016012</v>
      </c>
      <c r="M14" s="235">
        <f t="shared" si="1"/>
        <v>1.003989145805258</v>
      </c>
      <c r="O14" s="270"/>
    </row>
    <row r="15" spans="1:15" ht="12.75">
      <c r="A15" s="16">
        <v>41047</v>
      </c>
      <c r="B15">
        <v>8.07</v>
      </c>
      <c r="C15" s="143">
        <f>_XLL.DIATRABALHOTOTAL(A15,$B$2,Feriado!$A$1:$L$62)-1</f>
        <v>410</v>
      </c>
      <c r="D15">
        <v>8.33</v>
      </c>
      <c r="E15" s="143">
        <f>_XLL.DIATRABALHOTOTAL(A15,$D$2,Feriado!$A$1:$L$62)-1</f>
        <v>531</v>
      </c>
      <c r="F15">
        <v>8.63</v>
      </c>
      <c r="G15" s="143">
        <f>_XLL.DIATRABALHOTOTAL(A15,$F$2,Feriado!$A$1:$L$62)-1</f>
        <v>662</v>
      </c>
      <c r="H15">
        <v>8.9</v>
      </c>
      <c r="I15" s="143">
        <f>_XLL.DIATRABALHOTOTAL(A15,$H$2,Feriado!$A$1:$L$62)-1</f>
        <v>785</v>
      </c>
      <c r="J15" s="235">
        <v>8.76</v>
      </c>
      <c r="K15" s="235">
        <v>8.89</v>
      </c>
      <c r="L15" s="235">
        <f t="shared" si="0"/>
        <v>1.0003332834383984</v>
      </c>
      <c r="M15" s="235">
        <f t="shared" si="1"/>
        <v>1.0043237587598868</v>
      </c>
      <c r="O15" s="270"/>
    </row>
    <row r="16" spans="1:15" ht="12.75">
      <c r="A16" s="16">
        <v>41050</v>
      </c>
      <c r="B16">
        <v>8.19</v>
      </c>
      <c r="C16" s="143">
        <f>_XLL.DIATRABALHOTOTAL(A16,$B$2,Feriado!$A$1:$L$62)-1</f>
        <v>409</v>
      </c>
      <c r="D16">
        <v>8.46</v>
      </c>
      <c r="E16" s="143">
        <f>_XLL.DIATRABALHOTOTAL(A16,$D$2,Feriado!$A$1:$L$62)-1</f>
        <v>530</v>
      </c>
      <c r="F16">
        <v>8.76</v>
      </c>
      <c r="G16" s="143">
        <f>_XLL.DIATRABALHOTOTAL(A16,$F$2,Feriado!$A$1:$L$62)-1</f>
        <v>661</v>
      </c>
      <c r="H16">
        <v>9.03</v>
      </c>
      <c r="I16" s="143">
        <f>_XLL.DIATRABALHOTOTAL(A16,$H$2,Feriado!$A$1:$L$62)-1</f>
        <v>784</v>
      </c>
      <c r="J16" s="235">
        <v>8.73</v>
      </c>
      <c r="K16" s="235">
        <v>8.89</v>
      </c>
      <c r="L16" s="235">
        <f t="shared" si="0"/>
        <v>1.000332188333049</v>
      </c>
      <c r="M16" s="235">
        <f t="shared" si="1"/>
        <v>1.0046573833951506</v>
      </c>
      <c r="O16" s="270"/>
    </row>
    <row r="17" spans="1:15" ht="12.75">
      <c r="A17" s="16">
        <v>41051</v>
      </c>
      <c r="B17">
        <v>8.44</v>
      </c>
      <c r="C17" s="143">
        <f>_XLL.DIATRABALHOTOTAL(A17,$B$2,Feriado!$A$1:$L$62)-1</f>
        <v>408</v>
      </c>
      <c r="D17">
        <v>8.73</v>
      </c>
      <c r="E17" s="143">
        <f>_XLL.DIATRABALHOTOTAL(A17,$D$2,Feriado!$A$1:$L$62)-1</f>
        <v>529</v>
      </c>
      <c r="F17">
        <v>9.06</v>
      </c>
      <c r="G17" s="143">
        <f>_XLL.DIATRABALHOTOTAL(A17,$F$2,Feriado!$A$1:$L$62)-1</f>
        <v>660</v>
      </c>
      <c r="H17">
        <v>9.35</v>
      </c>
      <c r="I17" s="143">
        <f>_XLL.DIATRABALHOTOTAL(A17,$H$2,Feriado!$A$1:$L$62)-1</f>
        <v>783</v>
      </c>
      <c r="J17" s="235">
        <v>8.77</v>
      </c>
      <c r="K17" s="235">
        <v>8.89</v>
      </c>
      <c r="L17" s="235">
        <f t="shared" si="0"/>
        <v>1.0003336484066554</v>
      </c>
      <c r="M17" s="235">
        <f t="shared" si="1"/>
        <v>1.004992585730355</v>
      </c>
      <c r="O17" s="270"/>
    </row>
    <row r="18" spans="1:15" ht="12.75">
      <c r="A18" s="16">
        <v>41052</v>
      </c>
      <c r="B18">
        <v>8.34</v>
      </c>
      <c r="C18" s="143">
        <f>_XLL.DIATRABALHOTOTAL(A18,$B$2,Feriado!$A$1:$L$62)-1</f>
        <v>407</v>
      </c>
      <c r="D18">
        <v>8.62</v>
      </c>
      <c r="E18" s="143">
        <f>_XLL.DIATRABALHOTOTAL(A18,$D$2,Feriado!$A$1:$L$62)-1</f>
        <v>528</v>
      </c>
      <c r="F18">
        <v>8.92</v>
      </c>
      <c r="G18" s="143">
        <f>_XLL.DIATRABALHOTOTAL(A18,$F$2,Feriado!$A$1:$L$62)-1</f>
        <v>659</v>
      </c>
      <c r="H18">
        <v>9.19</v>
      </c>
      <c r="I18" s="143">
        <f>_XLL.DIATRABALHOTOTAL(A18,$H$2,Feriado!$A$1:$L$62)-1</f>
        <v>782</v>
      </c>
      <c r="J18" s="235">
        <v>8.78</v>
      </c>
      <c r="K18" s="235">
        <v>8.89</v>
      </c>
      <c r="L18" s="235">
        <f t="shared" si="0"/>
        <v>1.000334013341493</v>
      </c>
      <c r="M18" s="235">
        <f t="shared" si="1"/>
        <v>1.0053282666620906</v>
      </c>
      <c r="O18" s="270"/>
    </row>
    <row r="19" spans="1:15" ht="12.75">
      <c r="A19" s="16">
        <v>41053</v>
      </c>
      <c r="B19">
        <v>8.62</v>
      </c>
      <c r="C19" s="143">
        <f>_XLL.DIATRABALHOTOTAL(A19,$B$2,Feriado!$A$1:$L$62)-1</f>
        <v>406</v>
      </c>
      <c r="D19">
        <v>8.85</v>
      </c>
      <c r="E19" s="143">
        <f>_XLL.DIATRABALHOTOTAL(A19,$D$2,Feriado!$A$1:$L$62)-1</f>
        <v>527</v>
      </c>
      <c r="F19">
        <v>9.17</v>
      </c>
      <c r="G19" s="143">
        <f>_XLL.DIATRABALHOTOTAL(A19,$F$2,Feriado!$A$1:$L$62)-1</f>
        <v>658</v>
      </c>
      <c r="H19">
        <v>9.43</v>
      </c>
      <c r="I19" s="143">
        <f>_XLL.DIATRABALHOTOTAL(A19,$H$2,Feriado!$A$1:$L$62)-1</f>
        <v>781</v>
      </c>
      <c r="J19" s="235">
        <v>8.78</v>
      </c>
      <c r="K19" s="235">
        <v>8.89</v>
      </c>
      <c r="L19" s="235">
        <f t="shared" si="0"/>
        <v>1.000334013341493</v>
      </c>
      <c r="M19" s="235">
        <f t="shared" si="1"/>
        <v>1.0056640597157358</v>
      </c>
      <c r="O19" s="270"/>
    </row>
    <row r="20" spans="1:15" ht="12.75">
      <c r="A20" s="16">
        <v>41054</v>
      </c>
      <c r="B20">
        <v>8.52</v>
      </c>
      <c r="C20" s="143">
        <f>_XLL.DIATRABALHOTOTAL(A20,$B$2,Feriado!$A$1:$L$62)-1</f>
        <v>405</v>
      </c>
      <c r="D20">
        <v>8.76</v>
      </c>
      <c r="E20" s="143">
        <f>_XLL.DIATRABALHOTOTAL(A20,$D$2,Feriado!$A$1:$L$62)-1</f>
        <v>526</v>
      </c>
      <c r="F20">
        <v>9.06</v>
      </c>
      <c r="G20" s="143">
        <f>_XLL.DIATRABALHOTOTAL(A20,$F$2,Feriado!$A$1:$L$62)-1</f>
        <v>657</v>
      </c>
      <c r="H20">
        <v>9.3</v>
      </c>
      <c r="I20" s="143">
        <f>_XLL.DIATRABALHOTOTAL(A20,$H$2,Feriado!$A$1:$L$62)-1</f>
        <v>780</v>
      </c>
      <c r="J20" s="235">
        <v>8.79</v>
      </c>
      <c r="K20" s="235">
        <v>8.89</v>
      </c>
      <c r="L20" s="235">
        <f t="shared" si="0"/>
        <v>1.0003343782429175</v>
      </c>
      <c r="M20" s="235">
        <f t="shared" si="1"/>
        <v>1.0060003318969888</v>
      </c>
      <c r="O20" s="270"/>
    </row>
    <row r="21" spans="1:15" ht="12.75">
      <c r="A21" s="16">
        <v>41057</v>
      </c>
      <c r="B21">
        <v>8.51</v>
      </c>
      <c r="C21" s="143">
        <f>_XLL.DIATRABALHOTOTAL(A21,$B$2,Feriado!$A$1:$L$62)-1</f>
        <v>404</v>
      </c>
      <c r="D21">
        <v>8.73</v>
      </c>
      <c r="E21" s="143">
        <f>_XLL.DIATRABALHOTOTAL(A21,$D$2,Feriado!$A$1:$L$62)-1</f>
        <v>525</v>
      </c>
      <c r="F21">
        <v>9</v>
      </c>
      <c r="G21" s="143">
        <f>_XLL.DIATRABALHOTOTAL(A21,$F$2,Feriado!$A$1:$L$62)-1</f>
        <v>656</v>
      </c>
      <c r="H21">
        <v>9.24</v>
      </c>
      <c r="I21" s="143">
        <f>_XLL.DIATRABALHOTOTAL(A21,$H$2,Feriado!$A$1:$L$62)-1</f>
        <v>779</v>
      </c>
      <c r="J21" s="235">
        <v>8.78</v>
      </c>
      <c r="K21" s="235">
        <v>8.89</v>
      </c>
      <c r="L21" s="235">
        <f t="shared" si="0"/>
        <v>1.000334013341493</v>
      </c>
      <c r="M21" s="235">
        <f t="shared" si="1"/>
        <v>1.0063363494293889</v>
      </c>
      <c r="O21" s="270"/>
    </row>
    <row r="22" spans="1:15" ht="12.75">
      <c r="A22" s="16">
        <v>41058</v>
      </c>
      <c r="B22">
        <v>8.35</v>
      </c>
      <c r="C22" s="143">
        <f>_XLL.DIATRABALHOTOTAL(A22,$B$2,Feriado!$A$1:$L$62)-1</f>
        <v>403</v>
      </c>
      <c r="D22">
        <v>8.57</v>
      </c>
      <c r="E22" s="143">
        <f>_XLL.DIATRABALHOTOTAL(A22,$D$2,Feriado!$A$1:$L$62)-1</f>
        <v>524</v>
      </c>
      <c r="F22">
        <v>8.86</v>
      </c>
      <c r="G22" s="143">
        <f>_XLL.DIATRABALHOTOTAL(A22,$F$2,Feriado!$A$1:$L$62)-1</f>
        <v>655</v>
      </c>
      <c r="H22">
        <v>9.09</v>
      </c>
      <c r="I22" s="143">
        <f>_XLL.DIATRABALHOTOTAL(A22,$H$2,Feriado!$A$1:$L$62)-1</f>
        <v>778</v>
      </c>
      <c r="J22" s="235">
        <v>8.79</v>
      </c>
      <c r="K22" s="235">
        <v>8.89</v>
      </c>
      <c r="L22" s="235">
        <f t="shared" si="0"/>
        <v>1.0003343782429175</v>
      </c>
      <c r="M22" s="235">
        <f t="shared" si="1"/>
        <v>1.006672846409695</v>
      </c>
      <c r="O22" s="270"/>
    </row>
    <row r="23" spans="1:15" ht="12.75">
      <c r="A23" s="16">
        <v>41059</v>
      </c>
      <c r="B23">
        <v>8.34</v>
      </c>
      <c r="C23" s="143">
        <f>_XLL.DIATRABALHOTOTAL(A23,$B$2,Feriado!$A$1:$L$62)-1</f>
        <v>402</v>
      </c>
      <c r="D23">
        <v>8.56</v>
      </c>
      <c r="E23" s="143">
        <f>_XLL.DIATRABALHOTOTAL(A23,$D$2,Feriado!$A$1:$L$62)-1</f>
        <v>523</v>
      </c>
      <c r="F23">
        <v>8.86</v>
      </c>
      <c r="G23" s="143">
        <f>_XLL.DIATRABALHOTOTAL(A23,$F$2,Feriado!$A$1:$L$62)-1</f>
        <v>654</v>
      </c>
      <c r="H23">
        <v>9.08</v>
      </c>
      <c r="I23" s="143">
        <f>_XLL.DIATRABALHOTOTAL(A23,$H$2,Feriado!$A$1:$L$62)-1</f>
        <v>777</v>
      </c>
      <c r="J23" s="235">
        <v>8.81</v>
      </c>
      <c r="K23" s="235">
        <v>8.88</v>
      </c>
      <c r="L23" s="235">
        <f t="shared" si="0"/>
        <v>1.0003351079455507</v>
      </c>
      <c r="M23" s="235">
        <f t="shared" si="1"/>
        <v>1.0070101904790971</v>
      </c>
      <c r="O23" s="270"/>
    </row>
    <row r="24" spans="1:15" ht="12.75">
      <c r="A24" s="16">
        <v>41060</v>
      </c>
      <c r="B24">
        <v>8.27</v>
      </c>
      <c r="C24" s="143">
        <f>_XLL.DIATRABALHOTOTAL(A24,$B$2,Feriado!$A$1:$L$62)-1</f>
        <v>401</v>
      </c>
      <c r="D24">
        <v>8.52</v>
      </c>
      <c r="E24" s="143">
        <f>_XLL.DIATRABALHOTOTAL(A24,$D$2,Feriado!$A$1:$L$62)-1</f>
        <v>522</v>
      </c>
      <c r="F24">
        <v>8.89</v>
      </c>
      <c r="G24" s="143">
        <f>_XLL.DIATRABALHOTOTAL(A24,$F$2,Feriado!$A$1:$L$62)-1</f>
        <v>653</v>
      </c>
      <c r="H24">
        <v>9.17</v>
      </c>
      <c r="I24" s="143">
        <f>_XLL.DIATRABALHOTOTAL(A24,$H$2,Feriado!$A$1:$L$62)-1</f>
        <v>776</v>
      </c>
      <c r="J24" s="235">
        <v>8.33</v>
      </c>
      <c r="K24" s="235">
        <v>8.39</v>
      </c>
      <c r="L24" s="235">
        <f t="shared" si="0"/>
        <v>1.0003175581012567</v>
      </c>
      <c r="M24" s="235">
        <f t="shared" si="1"/>
        <v>1.0073299747231317</v>
      </c>
      <c r="O24" s="270"/>
    </row>
    <row r="25" spans="1:15" ht="12.75">
      <c r="A25" s="16">
        <v>41061</v>
      </c>
      <c r="B25">
        <v>8.23</v>
      </c>
      <c r="C25" s="143">
        <f>_XLL.DIATRABALHOTOTAL(A25,$B$2,Feriado!$A$1:$L$62)-1</f>
        <v>400</v>
      </c>
      <c r="D25">
        <v>8.51</v>
      </c>
      <c r="E25" s="143">
        <f>_XLL.DIATRABALHOTOTAL(A25,$D$2,Feriado!$A$1:$L$62)-1</f>
        <v>521</v>
      </c>
      <c r="F25">
        <v>8.88</v>
      </c>
      <c r="G25" s="143">
        <f>_XLL.DIATRABALHOTOTAL(A25,$F$2,Feriado!$A$1:$L$62)-1</f>
        <v>652</v>
      </c>
      <c r="H25">
        <v>9.13</v>
      </c>
      <c r="I25" s="143">
        <f>_XLL.DIATRABALHOTOTAL(A25,$H$2,Feriado!$A$1:$L$62)-1</f>
        <v>775</v>
      </c>
      <c r="J25" s="235">
        <v>8.34</v>
      </c>
      <c r="K25" s="235">
        <v>8.39</v>
      </c>
      <c r="L25" s="235">
        <f t="shared" si="0"/>
        <v>1.0003179245123748</v>
      </c>
      <c r="M25" s="235">
        <f t="shared" si="1"/>
        <v>1.007650229614146</v>
      </c>
      <c r="O25" s="270"/>
    </row>
    <row r="26" spans="1:15" ht="12.75">
      <c r="A26" s="16">
        <v>41064</v>
      </c>
      <c r="B26">
        <v>8.39</v>
      </c>
      <c r="C26" s="143">
        <f>_XLL.DIATRABALHOTOTAL(A26,$B$2,Feriado!$A$1:$L$62)-1</f>
        <v>399</v>
      </c>
      <c r="D26">
        <v>8.71</v>
      </c>
      <c r="E26" s="143">
        <f>_XLL.DIATRABALHOTOTAL(A26,$D$2,Feriado!$A$1:$L$62)-1</f>
        <v>520</v>
      </c>
      <c r="F26">
        <v>9.11</v>
      </c>
      <c r="G26" s="143">
        <f>_XLL.DIATRABALHOTOTAL(A26,$F$2,Feriado!$A$1:$L$62)-1</f>
        <v>651</v>
      </c>
      <c r="H26">
        <v>9.41</v>
      </c>
      <c r="I26" s="143">
        <f>_XLL.DIATRABALHOTOTAL(A26,$H$2,Feriado!$A$1:$L$62)-1</f>
        <v>774</v>
      </c>
      <c r="J26" s="235">
        <v>8.35</v>
      </c>
      <c r="K26" s="235">
        <v>8.39</v>
      </c>
      <c r="L26" s="235">
        <f t="shared" si="0"/>
        <v>1.0003182908898083</v>
      </c>
      <c r="M26" s="235">
        <f t="shared" si="1"/>
        <v>1.0079709555023455</v>
      </c>
      <c r="O26" s="270"/>
    </row>
    <row r="27" spans="1:15" ht="12.75">
      <c r="A27" s="16">
        <v>41065</v>
      </c>
      <c r="B27">
        <v>8.33</v>
      </c>
      <c r="C27" s="143">
        <f>_XLL.DIATRABALHOTOTAL(A27,$B$2,Feriado!$A$1:$L$62)-1</f>
        <v>398</v>
      </c>
      <c r="D27">
        <v>8.67</v>
      </c>
      <c r="E27" s="143">
        <f>_XLL.DIATRABALHOTOTAL(A27,$D$2,Feriado!$A$1:$L$62)-1</f>
        <v>519</v>
      </c>
      <c r="F27">
        <v>9.03</v>
      </c>
      <c r="G27" s="143">
        <f>_XLL.DIATRABALHOTOTAL(A27,$F$2,Feriado!$A$1:$L$62)-1</f>
        <v>650</v>
      </c>
      <c r="H27">
        <v>9.36</v>
      </c>
      <c r="I27" s="143">
        <f>_XLL.DIATRABALHOTOTAL(A27,$H$2,Feriado!$A$1:$L$62)-1</f>
        <v>773</v>
      </c>
      <c r="J27" s="235">
        <v>8.36</v>
      </c>
      <c r="K27" s="235">
        <v>8.39</v>
      </c>
      <c r="L27" s="235">
        <f t="shared" si="0"/>
        <v>1.0003186572335632</v>
      </c>
      <c r="M27" s="235">
        <f t="shared" si="1"/>
        <v>1.008292152738538</v>
      </c>
      <c r="O27" s="270"/>
    </row>
    <row r="28" spans="1:15" ht="12.75">
      <c r="A28" s="16">
        <v>41066</v>
      </c>
      <c r="B28">
        <v>8.28</v>
      </c>
      <c r="C28" s="143">
        <f>_XLL.DIATRABALHOTOTAL(A28,$B$2,Feriado!$A$1:$L$62)-1</f>
        <v>397</v>
      </c>
      <c r="D28">
        <v>8.61</v>
      </c>
      <c r="E28" s="143">
        <f>_XLL.DIATRABALHOTOTAL(A28,$D$2,Feriado!$A$1:$L$62)-1</f>
        <v>518</v>
      </c>
      <c r="F28">
        <v>8.97</v>
      </c>
      <c r="G28" s="143">
        <f>_XLL.DIATRABALHOTOTAL(A28,$F$2,Feriado!$A$1:$L$62)-1</f>
        <v>649</v>
      </c>
      <c r="H28">
        <v>9.28</v>
      </c>
      <c r="I28" s="143">
        <f>_XLL.DIATRABALHOTOTAL(A28,$H$2,Feriado!$A$1:$L$62)-1</f>
        <v>772</v>
      </c>
      <c r="J28" s="235">
        <v>8.32</v>
      </c>
      <c r="K28" s="235">
        <v>8.39</v>
      </c>
      <c r="L28" s="235">
        <f t="shared" si="0"/>
        <v>1.0003171916564475</v>
      </c>
      <c r="M28" s="235">
        <f t="shared" si="1"/>
        <v>1.0086119745966482</v>
      </c>
      <c r="O28" s="270"/>
    </row>
    <row r="29" spans="1:15" ht="12.75">
      <c r="A29" s="16">
        <v>41068</v>
      </c>
      <c r="B29">
        <v>8.14</v>
      </c>
      <c r="C29" s="143">
        <f>_XLL.DIATRABALHOTOTAL(A29,$B$2,Feriado!$A$1:$L$62)-1</f>
        <v>396</v>
      </c>
      <c r="D29">
        <v>8.48</v>
      </c>
      <c r="E29" s="143">
        <f>_XLL.DIATRABALHOTOTAL(A29,$D$2,Feriado!$A$1:$L$62)-1</f>
        <v>517</v>
      </c>
      <c r="F29">
        <v>8.79</v>
      </c>
      <c r="G29" s="143">
        <f>_XLL.DIATRABALHOTOTAL(A29,$F$2,Feriado!$A$1:$L$62)-1</f>
        <v>648</v>
      </c>
      <c r="H29">
        <v>9.09</v>
      </c>
      <c r="I29" s="143">
        <f>_XLL.DIATRABALHOTOTAL(A29,$H$2,Feriado!$A$1:$L$62)-1</f>
        <v>771</v>
      </c>
      <c r="J29" s="235">
        <v>8.36</v>
      </c>
      <c r="K29" s="235">
        <v>8.39</v>
      </c>
      <c r="L29" s="235">
        <f t="shared" si="0"/>
        <v>1.0003186572335632</v>
      </c>
      <c r="M29" s="235">
        <f t="shared" si="1"/>
        <v>1.0089333760982118</v>
      </c>
      <c r="O29" s="270"/>
    </row>
    <row r="30" spans="1:15" ht="12.75">
      <c r="A30" s="16">
        <v>41071</v>
      </c>
      <c r="B30">
        <v>8.09</v>
      </c>
      <c r="C30" s="143">
        <f>_XLL.DIATRABALHOTOTAL(A30,$B$2,Feriado!$A$1:$L$62)-1</f>
        <v>395</v>
      </c>
      <c r="D30">
        <v>8.49</v>
      </c>
      <c r="E30" s="143">
        <f>_XLL.DIATRABALHOTOTAL(A30,$D$2,Feriado!$A$1:$L$62)-1</f>
        <v>516</v>
      </c>
      <c r="F30">
        <v>8.83</v>
      </c>
      <c r="G30" s="143">
        <f>_XLL.DIATRABALHOTOTAL(A30,$F$2,Feriado!$A$1:$L$62)-1</f>
        <v>647</v>
      </c>
      <c r="H30">
        <v>9.16</v>
      </c>
      <c r="I30" s="143">
        <f>_XLL.DIATRABALHOTOTAL(A30,$H$2,Feriado!$A$1:$L$62)-1</f>
        <v>770</v>
      </c>
      <c r="J30" s="235">
        <v>8.32</v>
      </c>
      <c r="K30" s="235">
        <v>8.39</v>
      </c>
      <c r="L30" s="235">
        <f t="shared" si="0"/>
        <v>1.0003171916564475</v>
      </c>
      <c r="M30" s="235">
        <f t="shared" si="1"/>
        <v>1.0092534013470216</v>
      </c>
      <c r="O30" s="270"/>
    </row>
    <row r="31" spans="1:15" ht="12.75">
      <c r="A31" s="16">
        <v>41072</v>
      </c>
      <c r="B31">
        <v>8.04</v>
      </c>
      <c r="C31" s="143">
        <f>_XLL.DIATRABALHOTOTAL(A31,$B$2,Feriado!$A$1:$L$62)-1</f>
        <v>394</v>
      </c>
      <c r="D31">
        <v>8.4</v>
      </c>
      <c r="E31" s="143">
        <f>_XLL.DIATRABALHOTOTAL(A31,$D$2,Feriado!$A$1:$L$62)-1</f>
        <v>515</v>
      </c>
      <c r="F31">
        <v>8.74</v>
      </c>
      <c r="G31" s="143">
        <f>_XLL.DIATRABALHOTOTAL(A31,$F$2,Feriado!$A$1:$L$62)-1</f>
        <v>646</v>
      </c>
      <c r="H31">
        <v>9.093</v>
      </c>
      <c r="I31" s="143">
        <f>_XLL.DIATRABALHOTOTAL(A31,$H$2,Feriado!$A$1:$L$62)-1</f>
        <v>769</v>
      </c>
      <c r="J31" s="235">
        <v>8.34</v>
      </c>
      <c r="K31" s="235">
        <v>8.39</v>
      </c>
      <c r="L31" s="235">
        <f t="shared" si="0"/>
        <v>1.0003179245123748</v>
      </c>
      <c r="M31" s="235">
        <f t="shared" si="1"/>
        <v>1.0095742677425075</v>
      </c>
      <c r="O31" s="270"/>
    </row>
    <row r="32" spans="1:15" ht="12.75">
      <c r="A32" s="16">
        <v>41073</v>
      </c>
      <c r="B32">
        <v>8</v>
      </c>
      <c r="C32" s="143">
        <f>_XLL.DIATRABALHOTOTAL(A32,$B$2,Feriado!$A$1:$L$62)-1</f>
        <v>393</v>
      </c>
      <c r="D32">
        <v>8.35</v>
      </c>
      <c r="E32" s="143">
        <f>_XLL.DIATRABALHOTOTAL(A32,$D$2,Feriado!$A$1:$L$62)-1</f>
        <v>514</v>
      </c>
      <c r="F32">
        <v>8.69</v>
      </c>
      <c r="G32" s="143">
        <f>_XLL.DIATRABALHOTOTAL(A32,$F$2,Feriado!$A$1:$L$62)-1</f>
        <v>645</v>
      </c>
      <c r="H32">
        <v>9</v>
      </c>
      <c r="I32" s="143">
        <f>_XLL.DIATRABALHOTOTAL(A32,$H$2,Feriado!$A$1:$L$62)-1</f>
        <v>768</v>
      </c>
      <c r="J32" s="235">
        <v>8.35</v>
      </c>
      <c r="K32" s="235">
        <v>8.39</v>
      </c>
      <c r="L32" s="235">
        <f t="shared" si="0"/>
        <v>1.0003182908898083</v>
      </c>
      <c r="M32" s="235">
        <f t="shared" si="1"/>
        <v>1.0098956060345148</v>
      </c>
      <c r="O32" s="270"/>
    </row>
    <row r="33" spans="1:15" ht="12.75">
      <c r="A33" s="16">
        <v>41074</v>
      </c>
      <c r="B33">
        <v>7.98</v>
      </c>
      <c r="C33" s="143">
        <f>_XLL.DIATRABALHOTOTAL(A33,$B$2,Feriado!$A$1:$L$62)-1</f>
        <v>392</v>
      </c>
      <c r="D33">
        <v>8.33</v>
      </c>
      <c r="E33" s="143">
        <f>_XLL.DIATRABALHOTOTAL(A33,$D$2,Feriado!$A$1:$L$62)-1</f>
        <v>513</v>
      </c>
      <c r="F33">
        <v>8.66</v>
      </c>
      <c r="G33" s="143">
        <f>_XLL.DIATRABALHOTOTAL(A33,$F$2,Feriado!$A$1:$L$62)-1</f>
        <v>644</v>
      </c>
      <c r="H33">
        <v>8.982</v>
      </c>
      <c r="I33" s="143">
        <f>_XLL.DIATRABALHOTOTAL(A33,$H$2,Feriado!$A$1:$L$62)-1</f>
        <v>767</v>
      </c>
      <c r="J33" s="235">
        <v>8.34</v>
      </c>
      <c r="K33" s="235">
        <v>8.39</v>
      </c>
      <c r="L33" s="235">
        <f t="shared" si="0"/>
        <v>1.0003179245123748</v>
      </c>
      <c r="M33" s="235">
        <f t="shared" si="1"/>
        <v>1.0102166766026128</v>
      </c>
      <c r="O33" s="270"/>
    </row>
    <row r="34" spans="1:15" ht="12.75">
      <c r="A34" s="16">
        <v>41075</v>
      </c>
      <c r="B34">
        <v>8.09</v>
      </c>
      <c r="C34" s="143">
        <f>_XLL.DIATRABALHOTOTAL(A34,$B$2,Feriado!$A$1:$L$62)-1</f>
        <v>391</v>
      </c>
      <c r="D34">
        <v>8.45</v>
      </c>
      <c r="E34" s="143">
        <f>_XLL.DIATRABALHOTOTAL(A34,$D$2,Feriado!$A$1:$L$62)-1</f>
        <v>512</v>
      </c>
      <c r="F34">
        <v>8.82</v>
      </c>
      <c r="G34" s="143">
        <f>_XLL.DIATRABALHOTOTAL(A34,$F$2,Feriado!$A$1:$L$62)-1</f>
        <v>643</v>
      </c>
      <c r="H34">
        <v>9.14</v>
      </c>
      <c r="I34" s="143">
        <f>_XLL.DIATRABALHOTOTAL(A34,$H$2,Feriado!$A$1:$L$62)-1</f>
        <v>766</v>
      </c>
      <c r="J34" s="235">
        <v>8.32</v>
      </c>
      <c r="K34" s="235">
        <v>8.39</v>
      </c>
      <c r="L34" s="235">
        <f t="shared" si="0"/>
        <v>1.0003171916564475</v>
      </c>
      <c r="M34" s="235">
        <f t="shared" si="1"/>
        <v>1.0105371089036352</v>
      </c>
      <c r="O34" s="270"/>
    </row>
    <row r="35" spans="1:15" ht="12.75">
      <c r="A35" s="16">
        <v>41078</v>
      </c>
      <c r="B35">
        <v>8.05</v>
      </c>
      <c r="C35" s="143">
        <f>_XLL.DIATRABALHOTOTAL(A35,$B$2,Feriado!$A$1:$L$62)-1</f>
        <v>390</v>
      </c>
      <c r="D35">
        <v>8.4</v>
      </c>
      <c r="E35" s="143">
        <f>_XLL.DIATRABALHOTOTAL(A35,$D$2,Feriado!$A$1:$L$62)-1</f>
        <v>511</v>
      </c>
      <c r="F35">
        <v>8.74</v>
      </c>
      <c r="G35" s="143">
        <f>_XLL.DIATRABALHOTOTAL(A35,$F$2,Feriado!$A$1:$L$62)-1</f>
        <v>642</v>
      </c>
      <c r="H35">
        <v>9.08</v>
      </c>
      <c r="I35" s="143">
        <f>_XLL.DIATRABALHOTOTAL(A35,$H$2,Feriado!$A$1:$L$62)-1</f>
        <v>765</v>
      </c>
      <c r="J35" s="235">
        <v>8.35</v>
      </c>
      <c r="K35" s="235">
        <v>8.39</v>
      </c>
      <c r="L35" s="235">
        <f t="shared" si="0"/>
        <v>1.0003182908898083</v>
      </c>
      <c r="M35" s="235">
        <f t="shared" si="1"/>
        <v>1.0108587536592124</v>
      </c>
      <c r="O35" s="270"/>
    </row>
    <row r="36" spans="1:15" ht="12.75">
      <c r="A36" s="16">
        <v>41079</v>
      </c>
      <c r="B36">
        <v>8.03</v>
      </c>
      <c r="C36" s="143">
        <f>_XLL.DIATRABALHOTOTAL(A36,$B$2,Feriado!$A$1:$L$62)-1</f>
        <v>389</v>
      </c>
      <c r="D36">
        <v>8.36</v>
      </c>
      <c r="E36" s="143">
        <f>_XLL.DIATRABALHOTOTAL(A36,$D$2,Feriado!$A$1:$L$62)-1</f>
        <v>510</v>
      </c>
      <c r="F36">
        <v>8.68</v>
      </c>
      <c r="G36" s="143">
        <f>_XLL.DIATRABALHOTOTAL(A36,$F$2,Feriado!$A$1:$L$62)-1</f>
        <v>641</v>
      </c>
      <c r="H36">
        <v>8.98</v>
      </c>
      <c r="I36" s="143">
        <f>_XLL.DIATRABALHOTOTAL(A36,$H$2,Feriado!$A$1:$L$62)-1</f>
        <v>764</v>
      </c>
      <c r="J36" s="235">
        <v>8.32</v>
      </c>
      <c r="K36" s="235">
        <v>8.39</v>
      </c>
      <c r="L36" s="235">
        <f t="shared" si="0"/>
        <v>1.0003171916564475</v>
      </c>
      <c r="M36" s="235">
        <f t="shared" si="1"/>
        <v>1.01117938962172</v>
      </c>
      <c r="O36" s="270"/>
    </row>
    <row r="37" spans="1:15" ht="12.75">
      <c r="A37" s="16">
        <v>41080</v>
      </c>
      <c r="B37">
        <v>8.08</v>
      </c>
      <c r="C37" s="143">
        <f>_XLL.DIATRABALHOTOTAL(A37,$B$2,Feriado!$A$1:$L$62)-1</f>
        <v>388</v>
      </c>
      <c r="D37">
        <v>8.38</v>
      </c>
      <c r="E37" s="143">
        <f>_XLL.DIATRABALHOTOTAL(A37,$D$2,Feriado!$A$1:$L$62)-1</f>
        <v>509</v>
      </c>
      <c r="F37">
        <v>8.73</v>
      </c>
      <c r="G37" s="143">
        <f>_XLL.DIATRABALHOTOTAL(A37,$F$2,Feriado!$A$1:$L$62)-1</f>
        <v>640</v>
      </c>
      <c r="H37">
        <v>9.01</v>
      </c>
      <c r="I37" s="143">
        <f>_XLL.DIATRABALHOTOTAL(A37,$H$2,Feriado!$A$1:$L$62)-1</f>
        <v>763</v>
      </c>
      <c r="J37" s="235">
        <v>8.37</v>
      </c>
      <c r="K37" s="235">
        <v>8.39</v>
      </c>
      <c r="L37" s="235">
        <f t="shared" si="0"/>
        <v>1.0003190235436459</v>
      </c>
      <c r="M37" s="235">
        <f t="shared" si="1"/>
        <v>1.011501979653859</v>
      </c>
      <c r="O37" s="270"/>
    </row>
    <row r="38" spans="1:15" ht="12.75">
      <c r="A38" s="16">
        <v>41081</v>
      </c>
      <c r="B38">
        <v>8.05</v>
      </c>
      <c r="C38" s="143">
        <f>_XLL.DIATRABALHOTOTAL(A38,$B$2,Feriado!$A$1:$L$62)-1</f>
        <v>387</v>
      </c>
      <c r="D38">
        <v>8.35</v>
      </c>
      <c r="E38" s="143">
        <f>_XLL.DIATRABALHOTOTAL(A38,$D$2,Feriado!$A$1:$L$62)-1</f>
        <v>508</v>
      </c>
      <c r="F38">
        <v>8.67</v>
      </c>
      <c r="G38" s="143">
        <f>_XLL.DIATRABALHOTOTAL(A38,$F$2,Feriado!$A$1:$L$62)-1</f>
        <v>639</v>
      </c>
      <c r="H38">
        <v>8.92</v>
      </c>
      <c r="I38" s="143">
        <f>_XLL.DIATRABALHOTOTAL(A38,$H$2,Feriado!$A$1:$L$62)-1</f>
        <v>762</v>
      </c>
      <c r="J38" s="235">
        <v>8.38</v>
      </c>
      <c r="K38" s="235">
        <v>8.39</v>
      </c>
      <c r="L38" s="235">
        <f t="shared" si="0"/>
        <v>1.0003193898200624</v>
      </c>
      <c r="M38" s="235">
        <f t="shared" si="1"/>
        <v>1.0118250430891333</v>
      </c>
      <c r="O38" s="270"/>
    </row>
    <row r="39" spans="1:15" ht="12.75">
      <c r="A39" s="16">
        <v>41082</v>
      </c>
      <c r="B39">
        <v>8.05</v>
      </c>
      <c r="C39" s="143">
        <f>_XLL.DIATRABALHOTOTAL(A39,$B$2,Feriado!$A$1:$L$62)-1</f>
        <v>386</v>
      </c>
      <c r="D39">
        <v>8.33</v>
      </c>
      <c r="E39" s="143">
        <f>_XLL.DIATRABALHOTOTAL(A39,$D$2,Feriado!$A$1:$L$62)-1</f>
        <v>507</v>
      </c>
      <c r="F39">
        <v>8.64</v>
      </c>
      <c r="G39" s="143">
        <f>_XLL.DIATRABALHOTOTAL(A39,$F$2,Feriado!$A$1:$L$62)-1</f>
        <v>638</v>
      </c>
      <c r="H39">
        <v>8.92</v>
      </c>
      <c r="I39" s="143">
        <f>_XLL.DIATRABALHOTOTAL(A39,$H$2,Feriado!$A$1:$L$62)-1</f>
        <v>761</v>
      </c>
      <c r="J39" s="235">
        <v>8.36</v>
      </c>
      <c r="K39" s="235">
        <v>8.39</v>
      </c>
      <c r="L39" s="235">
        <f t="shared" si="0"/>
        <v>1.0003186572335632</v>
      </c>
      <c r="M39" s="235">
        <f t="shared" si="1"/>
        <v>1.0121474684582141</v>
      </c>
      <c r="O39" s="270"/>
    </row>
    <row r="40" spans="1:15" ht="12.75">
      <c r="A40" s="16">
        <v>41085</v>
      </c>
      <c r="B40">
        <v>7.95</v>
      </c>
      <c r="C40" s="143">
        <f>_XLL.DIATRABALHOTOTAL(A40,$B$2,Feriado!$A$1:$L$62)-1</f>
        <v>385</v>
      </c>
      <c r="D40">
        <v>8.22</v>
      </c>
      <c r="E40" s="143">
        <f>_XLL.DIATRABALHOTOTAL(A40,$D$2,Feriado!$A$1:$L$62)-1</f>
        <v>506</v>
      </c>
      <c r="F40">
        <v>8.53</v>
      </c>
      <c r="G40" s="143">
        <f>_XLL.DIATRABALHOTOTAL(A40,$F$2,Feriado!$A$1:$L$62)-1</f>
        <v>637</v>
      </c>
      <c r="H40">
        <v>8.8</v>
      </c>
      <c r="I40" s="143">
        <f>_XLL.DIATRABALHOTOTAL(A40,$H$2,Feriado!$A$1:$L$62)-1</f>
        <v>760</v>
      </c>
      <c r="J40" s="235">
        <v>8.38</v>
      </c>
      <c r="K40" s="235">
        <v>8.39</v>
      </c>
      <c r="L40" s="235">
        <f t="shared" si="0"/>
        <v>1.0003193898200624</v>
      </c>
      <c r="M40" s="235">
        <f t="shared" si="1"/>
        <v>1.0124707380560416</v>
      </c>
      <c r="O40" s="270"/>
    </row>
    <row r="41" spans="1:15" ht="12.75">
      <c r="A41" s="16">
        <v>41086</v>
      </c>
      <c r="B41">
        <v>7.9399999999999995</v>
      </c>
      <c r="C41" s="143">
        <f>_XLL.DIATRABALHOTOTAL(A41,$B$2,Feriado!$A$1:$L$62)-1</f>
        <v>384</v>
      </c>
      <c r="D41">
        <v>8.22</v>
      </c>
      <c r="E41" s="143">
        <f>_XLL.DIATRABALHOTOTAL(A41,$D$2,Feriado!$A$1:$L$62)-1</f>
        <v>505</v>
      </c>
      <c r="F41">
        <v>8.54</v>
      </c>
      <c r="G41" s="143">
        <f>_XLL.DIATRABALHOTOTAL(A41,$F$2,Feriado!$A$1:$L$62)-1</f>
        <v>636</v>
      </c>
      <c r="H41">
        <v>8.8</v>
      </c>
      <c r="I41" s="143">
        <f>_XLL.DIATRABALHOTOTAL(A41,$H$2,Feriado!$A$1:$L$62)-1</f>
        <v>759</v>
      </c>
      <c r="J41" s="235">
        <v>8.35</v>
      </c>
      <c r="K41" s="235">
        <v>8.39</v>
      </c>
      <c r="L41" s="235">
        <f t="shared" si="0"/>
        <v>1.0003182908898083</v>
      </c>
      <c r="M41" s="235">
        <f t="shared" si="1"/>
        <v>1.0127929982681623</v>
      </c>
      <c r="O41" s="270"/>
    </row>
    <row r="42" spans="1:15" ht="12.75">
      <c r="A42" s="16">
        <v>41087</v>
      </c>
      <c r="B42">
        <v>7.9399999999999995</v>
      </c>
      <c r="C42" s="143">
        <f>_XLL.DIATRABALHOTOTAL(A42,$B$2,Feriado!$A$1:$L$62)-1</f>
        <v>383</v>
      </c>
      <c r="D42">
        <v>8.23</v>
      </c>
      <c r="E42" s="143">
        <f>_XLL.DIATRABALHOTOTAL(A42,$D$2,Feriado!$A$1:$L$62)-1</f>
        <v>504</v>
      </c>
      <c r="F42">
        <v>8.54</v>
      </c>
      <c r="G42" s="143">
        <f>_XLL.DIATRABALHOTOTAL(A42,$F$2,Feriado!$A$1:$L$62)-1</f>
        <v>635</v>
      </c>
      <c r="H42">
        <v>8.831</v>
      </c>
      <c r="I42" s="143">
        <f>_XLL.DIATRABALHOTOTAL(A42,$H$2,Feriado!$A$1:$L$62)-1</f>
        <v>758</v>
      </c>
      <c r="J42" s="235">
        <v>8.37</v>
      </c>
      <c r="K42" s="235">
        <v>8.39</v>
      </c>
      <c r="L42" s="235">
        <f t="shared" si="0"/>
        <v>1.0003190235436459</v>
      </c>
      <c r="M42" s="235">
        <f t="shared" si="1"/>
        <v>1.0131161030794495</v>
      </c>
      <c r="O42" s="270"/>
    </row>
    <row r="43" spans="1:15" ht="12.75">
      <c r="A43" s="16">
        <v>41088</v>
      </c>
      <c r="B43">
        <v>7.87</v>
      </c>
      <c r="C43" s="143">
        <f>_XLL.DIATRABALHOTOTAL(A43,$B$2,Feriado!$A$1:$L$62)-1</f>
        <v>382</v>
      </c>
      <c r="D43">
        <v>8.18</v>
      </c>
      <c r="E43" s="143">
        <f>_XLL.DIATRABALHOTOTAL(A43,$D$2,Feriado!$A$1:$L$62)-1</f>
        <v>503</v>
      </c>
      <c r="F43">
        <v>8.5</v>
      </c>
      <c r="G43" s="143">
        <f>_XLL.DIATRABALHOTOTAL(A43,$F$2,Feriado!$A$1:$L$62)-1</f>
        <v>634</v>
      </c>
      <c r="H43">
        <v>8.8</v>
      </c>
      <c r="I43" s="143">
        <f>_XLL.DIATRABALHOTOTAL(A43,$H$2,Feriado!$A$1:$L$62)-1</f>
        <v>757</v>
      </c>
      <c r="J43" s="235">
        <v>8.36</v>
      </c>
      <c r="K43" s="235">
        <v>8.39</v>
      </c>
      <c r="L43" s="235">
        <f t="shared" si="0"/>
        <v>1.0003186572335632</v>
      </c>
      <c r="M43" s="235">
        <f t="shared" si="1"/>
        <v>1.0134389398541352</v>
      </c>
      <c r="O43" s="270"/>
    </row>
    <row r="44" spans="1:15" ht="12.75">
      <c r="A44" s="16">
        <v>41089</v>
      </c>
      <c r="B44">
        <v>7.89</v>
      </c>
      <c r="C44" s="143">
        <f>_XLL.DIATRABALHOTOTAL(A44,$B$2,Feriado!$A$1:$L$62)-1</f>
        <v>381</v>
      </c>
      <c r="D44">
        <v>8.18</v>
      </c>
      <c r="E44" s="143">
        <f>_XLL.DIATRABALHOTOTAL(A44,$D$2,Feriado!$A$1:$L$62)-1</f>
        <v>502</v>
      </c>
      <c r="F44">
        <v>8.49</v>
      </c>
      <c r="G44" s="143">
        <f>_XLL.DIATRABALHOTOTAL(A44,$F$2,Feriado!$A$1:$L$62)-1</f>
        <v>633</v>
      </c>
      <c r="H44">
        <v>8.77</v>
      </c>
      <c r="I44" s="143">
        <f>_XLL.DIATRABALHOTOTAL(A44,$H$2,Feriado!$A$1:$L$62)-1</f>
        <v>756</v>
      </c>
      <c r="J44" s="235">
        <v>8.38</v>
      </c>
      <c r="K44" s="235">
        <v>8.4</v>
      </c>
      <c r="L44" s="235">
        <f t="shared" si="0"/>
        <v>1.0003193898200624</v>
      </c>
      <c r="M44" s="235">
        <f t="shared" si="1"/>
        <v>1.0137626219347795</v>
      </c>
      <c r="O44" s="270"/>
    </row>
    <row r="45" spans="1:15" ht="12.75">
      <c r="A45" s="16">
        <v>41092</v>
      </c>
      <c r="B45">
        <v>7.84</v>
      </c>
      <c r="C45" s="143">
        <f>_XLL.DIATRABALHOTOTAL(A45,$B$2,Feriado!$A$1:$L$62)-1</f>
        <v>380</v>
      </c>
      <c r="D45">
        <v>8.12</v>
      </c>
      <c r="E45" s="143">
        <f>_XLL.DIATRABALHOTOTAL(A45,$D$2,Feriado!$A$1:$L$62)-1</f>
        <v>501</v>
      </c>
      <c r="F45">
        <v>8.39</v>
      </c>
      <c r="G45" s="143">
        <f>_XLL.DIATRABALHOTOTAL(A45,$F$2,Feriado!$A$1:$L$62)-1</f>
        <v>632</v>
      </c>
      <c r="H45">
        <v>8.65</v>
      </c>
      <c r="I45" s="143">
        <f>_XLL.DIATRABALHOTOTAL(A45,$H$2,Feriado!$A$1:$L$62)-1</f>
        <v>755</v>
      </c>
      <c r="J45" s="235">
        <v>8.36</v>
      </c>
      <c r="K45" s="235">
        <v>8.39</v>
      </c>
      <c r="L45" s="235">
        <f t="shared" si="0"/>
        <v>1.0003186572335632</v>
      </c>
      <c r="M45" s="235">
        <f t="shared" si="1"/>
        <v>1.014085664727375</v>
      </c>
      <c r="O45" s="270"/>
    </row>
    <row r="46" spans="1:15" ht="12.75">
      <c r="A46" s="16">
        <v>41093</v>
      </c>
      <c r="B46">
        <v>7.82</v>
      </c>
      <c r="C46" s="143">
        <f>_XLL.DIATRABALHOTOTAL(A46,$B$2,Feriado!$A$1:$L$62)-1</f>
        <v>379</v>
      </c>
      <c r="D46">
        <v>8.08</v>
      </c>
      <c r="E46" s="143">
        <f>_XLL.DIATRABALHOTOTAL(A46,$D$2,Feriado!$A$1:$L$62)-1</f>
        <v>500</v>
      </c>
      <c r="F46">
        <v>8.38</v>
      </c>
      <c r="G46" s="143">
        <f>_XLL.DIATRABALHOTOTAL(A46,$F$2,Feriado!$A$1:$L$62)-1</f>
        <v>631</v>
      </c>
      <c r="H46">
        <v>8.66</v>
      </c>
      <c r="I46" s="143">
        <f>_XLL.DIATRABALHOTOTAL(A46,$H$2,Feriado!$A$1:$L$62)-1</f>
        <v>754</v>
      </c>
      <c r="J46" s="235">
        <v>8.36</v>
      </c>
      <c r="K46" s="235">
        <v>8.39</v>
      </c>
      <c r="L46" s="235">
        <f t="shared" si="0"/>
        <v>1.0003186572335632</v>
      </c>
      <c r="M46" s="235">
        <f t="shared" si="1"/>
        <v>1.0144088104598932</v>
      </c>
      <c r="O46" s="270"/>
    </row>
    <row r="47" spans="1:15" ht="12.75">
      <c r="A47" s="16">
        <v>41094</v>
      </c>
      <c r="B47">
        <v>7.88</v>
      </c>
      <c r="C47" s="143">
        <f>_XLL.DIATRABALHOTOTAL(A47,$B$2,Feriado!$A$1:$L$62)-1</f>
        <v>378</v>
      </c>
      <c r="D47">
        <v>8.16</v>
      </c>
      <c r="E47" s="143">
        <f>_XLL.DIATRABALHOTOTAL(A47,$D$2,Feriado!$A$1:$L$62)-1</f>
        <v>499</v>
      </c>
      <c r="F47">
        <v>8.5</v>
      </c>
      <c r="G47" s="143">
        <f>_XLL.DIATRABALHOTOTAL(A47,$F$2,Feriado!$A$1:$L$62)-1</f>
        <v>630</v>
      </c>
      <c r="H47">
        <v>8.805</v>
      </c>
      <c r="I47" s="143">
        <f>_XLL.DIATRABALHOTOTAL(A47,$H$2,Feriado!$A$1:$L$62)-1</f>
        <v>753</v>
      </c>
      <c r="J47" s="235">
        <v>8.37</v>
      </c>
      <c r="K47" s="235">
        <v>8.39</v>
      </c>
      <c r="L47" s="235">
        <f t="shared" si="0"/>
        <v>1.0003190235436459</v>
      </c>
      <c r="M47" s="235">
        <f t="shared" si="1"/>
        <v>1.0147324307533117</v>
      </c>
      <c r="O47" s="270"/>
    </row>
    <row r="48" spans="1:15" ht="12.75">
      <c r="A48" s="16">
        <v>41095</v>
      </c>
      <c r="B48">
        <v>7.91</v>
      </c>
      <c r="C48" s="143">
        <f>_XLL.DIATRABALHOTOTAL(A48,$B$2,Feriado!$A$1:$L$62)-1</f>
        <v>377</v>
      </c>
      <c r="D48">
        <v>8.23</v>
      </c>
      <c r="E48" s="143">
        <f>_XLL.DIATRABALHOTOTAL(A48,$D$2,Feriado!$A$1:$L$62)-1</f>
        <v>498</v>
      </c>
      <c r="F48">
        <v>8.58</v>
      </c>
      <c r="G48" s="143">
        <f>_XLL.DIATRABALHOTOTAL(A48,$F$2,Feriado!$A$1:$L$62)-1</f>
        <v>629</v>
      </c>
      <c r="H48">
        <v>8.871</v>
      </c>
      <c r="I48" s="143">
        <f>_XLL.DIATRABALHOTOTAL(A48,$H$2,Feriado!$A$1:$L$62)-1</f>
        <v>752</v>
      </c>
      <c r="J48" s="235">
        <v>8.36</v>
      </c>
      <c r="K48" s="235">
        <v>8.39</v>
      </c>
      <c r="L48" s="235">
        <f t="shared" si="0"/>
        <v>1.0003186572335632</v>
      </c>
      <c r="M48" s="235">
        <f t="shared" si="1"/>
        <v>1.0150557825825024</v>
      </c>
      <c r="O48" s="270"/>
    </row>
    <row r="49" spans="1:15" ht="12.75">
      <c r="A49" s="16">
        <v>41096</v>
      </c>
      <c r="B49">
        <v>7.82</v>
      </c>
      <c r="C49" s="143">
        <f>_XLL.DIATRABALHOTOTAL(A49,$B$2,Feriado!$A$1:$L$62)-1</f>
        <v>376</v>
      </c>
      <c r="D49">
        <v>8.12</v>
      </c>
      <c r="E49" s="143">
        <f>_XLL.DIATRABALHOTOTAL(A49,$D$2,Feriado!$A$1:$L$62)-1</f>
        <v>497</v>
      </c>
      <c r="F49">
        <v>8.43</v>
      </c>
      <c r="G49" s="143">
        <f>_XLL.DIATRABALHOTOTAL(A49,$F$2,Feriado!$A$1:$L$62)-1</f>
        <v>628</v>
      </c>
      <c r="H49">
        <v>8.731</v>
      </c>
      <c r="I49" s="143">
        <f>_XLL.DIATRABALHOTOTAL(A49,$H$2,Feriado!$A$1:$L$62)-1</f>
        <v>751</v>
      </c>
      <c r="J49" s="235">
        <v>8.34</v>
      </c>
      <c r="K49" s="235">
        <v>8.39</v>
      </c>
      <c r="L49" s="235">
        <f t="shared" si="0"/>
        <v>1.0003179245123748</v>
      </c>
      <c r="M49" s="235">
        <f t="shared" si="1"/>
        <v>1.0153784936972132</v>
      </c>
      <c r="O49" s="270"/>
    </row>
    <row r="50" spans="1:16" ht="12.75">
      <c r="A50" s="16">
        <v>41100</v>
      </c>
      <c r="B50">
        <v>7.74</v>
      </c>
      <c r="C50" s="143">
        <f>_XLL.DIATRABALHOTOTAL(A50,$B$2,Feriado!$A$1:$L$62)-1</f>
        <v>374</v>
      </c>
      <c r="D50">
        <v>8.04</v>
      </c>
      <c r="E50" s="143">
        <f>_XLL.DIATRABALHOTOTAL(A50,$D$2,Feriado!$A$1:$L$62)-1</f>
        <v>495</v>
      </c>
      <c r="F50">
        <v>8.33</v>
      </c>
      <c r="G50" s="143">
        <f>_XLL.DIATRABALHOTOTAL(A50,$F$2,Feriado!$A$1:$L$62)-1</f>
        <v>626</v>
      </c>
      <c r="H50">
        <v>8.622</v>
      </c>
      <c r="I50" s="143">
        <f>_XLL.DIATRABALHOTOTAL(A50,$H$2,Feriado!$A$1:$L$62)-1</f>
        <v>749</v>
      </c>
      <c r="J50" s="235">
        <v>8.32</v>
      </c>
      <c r="K50" s="235">
        <v>8.39</v>
      </c>
      <c r="L50" s="235">
        <f t="shared" si="0"/>
        <v>1.0003171916564475</v>
      </c>
      <c r="M50" s="235">
        <f t="shared" si="1"/>
        <v>1.0157005632835503</v>
      </c>
      <c r="O50" s="270"/>
      <c r="P50" s="16"/>
    </row>
    <row r="51" spans="1:16" ht="12.75">
      <c r="A51" s="16">
        <v>41101</v>
      </c>
      <c r="B51">
        <v>7.64</v>
      </c>
      <c r="C51" s="143">
        <f>_XLL.DIATRABALHOTOTAL(A51,$B$2,Feriado!$A$1:$L$62)-1</f>
        <v>373</v>
      </c>
      <c r="D51">
        <v>7.92</v>
      </c>
      <c r="E51" s="143">
        <f>_XLL.DIATRABALHOTOTAL(A51,$D$2,Feriado!$A$1:$L$62)-1</f>
        <v>494</v>
      </c>
      <c r="F51">
        <v>8.2</v>
      </c>
      <c r="G51" s="143">
        <f>_XLL.DIATRABALHOTOTAL(A51,$F$2,Feriado!$A$1:$L$62)-1</f>
        <v>625</v>
      </c>
      <c r="H51">
        <v>8.48</v>
      </c>
      <c r="I51" s="143">
        <f>_XLL.DIATRABALHOTOTAL(A51,$H$2,Feriado!$A$1:$L$62)-1</f>
        <v>748</v>
      </c>
      <c r="J51" s="235">
        <v>8.3</v>
      </c>
      <c r="K51" s="235">
        <v>8.39</v>
      </c>
      <c r="L51" s="235">
        <f t="shared" si="0"/>
        <v>1.0003164586657314</v>
      </c>
      <c r="M51" s="235">
        <f t="shared" si="1"/>
        <v>1.0160219905285897</v>
      </c>
      <c r="O51" s="270"/>
      <c r="P51" s="16"/>
    </row>
    <row r="52" spans="1:16" ht="12.75">
      <c r="A52" s="16">
        <v>41102</v>
      </c>
      <c r="B52">
        <v>7.6899999999999995</v>
      </c>
      <c r="C52" s="143">
        <f>_XLL.DIATRABALHOTOTAL(A52,$B$2,Feriado!$A$1:$L$62)-1</f>
        <v>372</v>
      </c>
      <c r="D52">
        <v>7.99</v>
      </c>
      <c r="E52" s="143">
        <f>_XLL.DIATRABALHOTOTAL(A52,$D$2,Feriado!$A$1:$L$62)-1</f>
        <v>493</v>
      </c>
      <c r="F52">
        <v>8.29</v>
      </c>
      <c r="G52" s="143">
        <f>_XLL.DIATRABALHOTOTAL(A52,$F$2,Feriado!$A$1:$L$62)-1</f>
        <v>624</v>
      </c>
      <c r="H52">
        <v>8.586</v>
      </c>
      <c r="I52" s="143">
        <f>_XLL.DIATRABALHOTOTAL(A52,$H$2,Feriado!$A$1:$L$62)-1</f>
        <v>747</v>
      </c>
      <c r="J52" s="235">
        <v>7.85</v>
      </c>
      <c r="K52" s="235">
        <v>7.89</v>
      </c>
      <c r="L52" s="235">
        <f t="shared" si="0"/>
        <v>1.000299930632292</v>
      </c>
      <c r="M52" s="235">
        <f t="shared" si="1"/>
        <v>1.0163267266466314</v>
      </c>
      <c r="O52" s="270"/>
      <c r="P52" s="16"/>
    </row>
    <row r="53" spans="1:16" ht="12.75">
      <c r="A53" s="16">
        <v>41103</v>
      </c>
      <c r="B53">
        <v>7.67</v>
      </c>
      <c r="C53" s="143">
        <f>_XLL.DIATRABALHOTOTAL(A53,$B$2,Feriado!$A$1:$L$62)-1</f>
        <v>371</v>
      </c>
      <c r="D53">
        <v>7.97</v>
      </c>
      <c r="E53" s="143">
        <f>_XLL.DIATRABALHOTOTAL(A53,$D$2,Feriado!$A$1:$L$62)-1</f>
        <v>492</v>
      </c>
      <c r="F53">
        <v>8.26</v>
      </c>
      <c r="G53" s="143">
        <f>_XLL.DIATRABALHOTOTAL(A53,$F$2,Feriado!$A$1:$L$62)-1</f>
        <v>623</v>
      </c>
      <c r="H53">
        <v>8.55</v>
      </c>
      <c r="I53" s="143">
        <f>_XLL.DIATRABALHOTOTAL(A53,$H$2,Feriado!$A$1:$L$62)-1</f>
        <v>746</v>
      </c>
      <c r="J53" s="235">
        <v>7.83</v>
      </c>
      <c r="K53" s="235">
        <v>7.89</v>
      </c>
      <c r="L53" s="235">
        <f t="shared" si="0"/>
        <v>1.0002991944596806</v>
      </c>
      <c r="M53" s="235">
        <f t="shared" si="1"/>
        <v>1.0166308059724694</v>
      </c>
      <c r="O53" s="270"/>
      <c r="P53" s="16"/>
    </row>
    <row r="54" spans="1:16" ht="12.75">
      <c r="A54" s="16">
        <v>41106</v>
      </c>
      <c r="B54">
        <v>7.66</v>
      </c>
      <c r="C54" s="143">
        <f>_XLL.DIATRABALHOTOTAL(A54,$B$2,Feriado!$A$1:$L$62)-1</f>
        <v>370</v>
      </c>
      <c r="D54">
        <v>7.96</v>
      </c>
      <c r="E54" s="143">
        <f>_XLL.DIATRABALHOTOTAL(A54,$D$2,Feriado!$A$1:$L$62)-1</f>
        <v>491</v>
      </c>
      <c r="F54">
        <v>8.24</v>
      </c>
      <c r="G54" s="143">
        <f>_XLL.DIATRABALHOTOTAL(A54,$F$2,Feriado!$A$1:$L$62)-1</f>
        <v>622</v>
      </c>
      <c r="H54">
        <v>8.51</v>
      </c>
      <c r="I54" s="143">
        <f>_XLL.DIATRABALHOTOTAL(A54,$H$2,Feriado!$A$1:$L$62)-1</f>
        <v>745</v>
      </c>
      <c r="J54" s="235">
        <v>7.85</v>
      </c>
      <c r="K54" s="235">
        <v>7.89</v>
      </c>
      <c r="L54" s="235">
        <f t="shared" si="0"/>
        <v>1.000299930632292</v>
      </c>
      <c r="M54" s="235">
        <f t="shared" si="1"/>
        <v>1.016935724692912</v>
      </c>
      <c r="O54" s="270"/>
      <c r="P54" s="16"/>
    </row>
    <row r="55" spans="1:16" ht="12.75">
      <c r="A55" s="16">
        <v>41107</v>
      </c>
      <c r="B55">
        <v>7.78</v>
      </c>
      <c r="C55" s="143">
        <f>_XLL.DIATRABALHOTOTAL(A55,$B$2,Feriado!$A$1:$L$62)-1</f>
        <v>369</v>
      </c>
      <c r="D55">
        <v>8.06</v>
      </c>
      <c r="E55" s="143">
        <f>_XLL.DIATRABALHOTOTAL(A55,$D$2,Feriado!$A$1:$L$62)-1</f>
        <v>490</v>
      </c>
      <c r="F55">
        <v>8.35</v>
      </c>
      <c r="G55" s="143">
        <f>_XLL.DIATRABALHOTOTAL(A55,$F$2,Feriado!$A$1:$L$62)-1</f>
        <v>621</v>
      </c>
      <c r="H55">
        <v>8.63</v>
      </c>
      <c r="I55" s="143">
        <f>_XLL.DIATRABALHOTOTAL(A55,$H$2,Feriado!$A$1:$L$62)-1</f>
        <v>744</v>
      </c>
      <c r="J55" s="235">
        <v>7.82</v>
      </c>
      <c r="K55" s="235">
        <v>7.89</v>
      </c>
      <c r="L55" s="235">
        <f t="shared" si="0"/>
        <v>1.0002988263223729</v>
      </c>
      <c r="M55" s="235">
        <f t="shared" si="1"/>
        <v>1.0172396118556117</v>
      </c>
      <c r="O55" s="270"/>
      <c r="P55" s="16"/>
    </row>
    <row r="56" spans="1:16" ht="12.75">
      <c r="A56" s="16">
        <v>41108</v>
      </c>
      <c r="B56">
        <v>7.76</v>
      </c>
      <c r="C56" s="143">
        <f>_XLL.DIATRABALHOTOTAL(A56,$B$2,Feriado!$A$1:$L$62)-1</f>
        <v>368</v>
      </c>
      <c r="D56">
        <v>8.05</v>
      </c>
      <c r="E56" s="143">
        <f>_XLL.DIATRABALHOTOTAL(A56,$D$2,Feriado!$A$1:$L$62)-1</f>
        <v>489</v>
      </c>
      <c r="F56">
        <v>8.32</v>
      </c>
      <c r="G56" s="143">
        <f>_XLL.DIATRABALHOTOTAL(A56,$F$2,Feriado!$A$1:$L$62)-1</f>
        <v>620</v>
      </c>
      <c r="H56">
        <v>8.58</v>
      </c>
      <c r="I56" s="143">
        <f>_XLL.DIATRABALHOTOTAL(A56,$H$2,Feriado!$A$1:$L$62)-1</f>
        <v>743</v>
      </c>
      <c r="J56" s="235">
        <v>7.8</v>
      </c>
      <c r="K56" s="235">
        <v>7.89</v>
      </c>
      <c r="L56" s="235">
        <f t="shared" si="0"/>
        <v>1.000298089945722</v>
      </c>
      <c r="M56" s="235">
        <f t="shared" si="1"/>
        <v>1.0175428407562959</v>
      </c>
      <c r="O56" s="270"/>
      <c r="P56" s="16"/>
    </row>
    <row r="57" spans="1:16" ht="12.75">
      <c r="A57" s="16">
        <v>41109</v>
      </c>
      <c r="B57">
        <v>7.68</v>
      </c>
      <c r="C57" s="143">
        <f>_XLL.DIATRABALHOTOTAL(A57,$B$2,Feriado!$A$1:$L$62)-1</f>
        <v>367</v>
      </c>
      <c r="D57">
        <v>7.96</v>
      </c>
      <c r="E57" s="143">
        <f>_XLL.DIATRABALHOTOTAL(A57,$D$2,Feriado!$A$1:$L$62)-1</f>
        <v>488</v>
      </c>
      <c r="F57">
        <v>8.19</v>
      </c>
      <c r="G57" s="143">
        <f>_XLL.DIATRABALHOTOTAL(A57,$F$2,Feriado!$A$1:$L$62)-1</f>
        <v>619</v>
      </c>
      <c r="H57">
        <v>8.44</v>
      </c>
      <c r="I57" s="143">
        <f>_XLL.DIATRABALHOTOTAL(A57,$H$2,Feriado!$A$1:$L$62)-1</f>
        <v>742</v>
      </c>
      <c r="J57" s="235">
        <v>7.83</v>
      </c>
      <c r="K57" s="235">
        <v>7.89</v>
      </c>
      <c r="L57" s="235">
        <f t="shared" si="0"/>
        <v>1.0002991944596806</v>
      </c>
      <c r="M57" s="235">
        <f t="shared" si="1"/>
        <v>1.0178472839367378</v>
      </c>
      <c r="O57" s="270"/>
      <c r="P57" s="16"/>
    </row>
    <row r="58" spans="1:16" ht="12.75">
      <c r="A58" s="16">
        <v>41110</v>
      </c>
      <c r="B58">
        <v>7.75</v>
      </c>
      <c r="C58" s="143">
        <f>_XLL.DIATRABALHOTOTAL(A58,$B$2,Feriado!$A$1:$L$62)-1</f>
        <v>366</v>
      </c>
      <c r="D58">
        <v>8</v>
      </c>
      <c r="E58" s="143">
        <f>_XLL.DIATRABALHOTOTAL(A58,$D$2,Feriado!$A$1:$L$62)-1</f>
        <v>487</v>
      </c>
      <c r="F58">
        <v>8.2</v>
      </c>
      <c r="G58" s="143">
        <f>_XLL.DIATRABALHOTOTAL(A58,$F$2,Feriado!$A$1:$L$62)-1</f>
        <v>618</v>
      </c>
      <c r="H58">
        <v>8.42</v>
      </c>
      <c r="I58" s="143">
        <f>_XLL.DIATRABALHOTOTAL(A58,$H$2,Feriado!$A$1:$L$62)-1</f>
        <v>741</v>
      </c>
      <c r="J58" s="235">
        <v>7.84</v>
      </c>
      <c r="K58" s="235">
        <v>7.89</v>
      </c>
      <c r="L58" s="235">
        <f t="shared" si="0"/>
        <v>1.000299562562985</v>
      </c>
      <c r="M58" s="235">
        <f t="shared" si="1"/>
        <v>1.0181521928778412</v>
      </c>
      <c r="O58" s="270"/>
      <c r="P58" s="16"/>
    </row>
    <row r="59" spans="1:16" ht="12.75">
      <c r="A59" s="16">
        <v>41113</v>
      </c>
      <c r="B59">
        <v>7.68</v>
      </c>
      <c r="C59" s="143">
        <f>_XLL.DIATRABALHOTOTAL(A59,$B$2,Feriado!$A$1:$L$62)-1</f>
        <v>365</v>
      </c>
      <c r="D59">
        <v>7.96</v>
      </c>
      <c r="E59" s="143">
        <f>_XLL.DIATRABALHOTOTAL(A59,$D$2,Feriado!$A$1:$L$62)-1</f>
        <v>486</v>
      </c>
      <c r="F59">
        <v>8.17</v>
      </c>
      <c r="G59" s="143">
        <f>_XLL.DIATRABALHOTOTAL(A59,$F$2,Feriado!$A$1:$L$62)-1</f>
        <v>617</v>
      </c>
      <c r="H59">
        <v>8.399000000000001</v>
      </c>
      <c r="I59" s="143">
        <f>_XLL.DIATRABALHOTOTAL(A59,$H$2,Feriado!$A$1:$L$62)-1</f>
        <v>740</v>
      </c>
      <c r="J59" s="235">
        <v>7.84</v>
      </c>
      <c r="K59" s="235">
        <v>7.89</v>
      </c>
      <c r="L59" s="235">
        <f t="shared" si="0"/>
        <v>1.000299562562985</v>
      </c>
      <c r="M59" s="235">
        <f t="shared" si="1"/>
        <v>1.0184571931582485</v>
      </c>
      <c r="O59" s="270"/>
      <c r="P59" s="16"/>
    </row>
    <row r="60" spans="1:16" ht="12.75">
      <c r="A60" s="16">
        <v>41114</v>
      </c>
      <c r="B60">
        <v>7.73</v>
      </c>
      <c r="C60" s="143">
        <f>_XLL.DIATRABALHOTOTAL(A60,$B$2,Feriado!$A$1:$L$62)-1</f>
        <v>364</v>
      </c>
      <c r="D60">
        <v>8.03</v>
      </c>
      <c r="E60" s="143">
        <f>_XLL.DIATRABALHOTOTAL(A60,$D$2,Feriado!$A$1:$L$62)-1</f>
        <v>485</v>
      </c>
      <c r="F60">
        <v>8.25</v>
      </c>
      <c r="G60" s="143">
        <f>_XLL.DIATRABALHOTOTAL(A60,$F$2,Feriado!$A$1:$L$62)-1</f>
        <v>616</v>
      </c>
      <c r="H60">
        <v>8.5</v>
      </c>
      <c r="I60" s="143">
        <f>_XLL.DIATRABALHOTOTAL(A60,$H$2,Feriado!$A$1:$L$62)-1</f>
        <v>739</v>
      </c>
      <c r="J60" s="235">
        <v>7.82</v>
      </c>
      <c r="K60" s="235">
        <v>7.89</v>
      </c>
      <c r="L60" s="235">
        <f t="shared" si="0"/>
        <v>1.0002988263223729</v>
      </c>
      <c r="M60" s="235">
        <f t="shared" si="1"/>
        <v>1.0187615349757742</v>
      </c>
      <c r="O60" s="270"/>
      <c r="P60" s="16"/>
    </row>
    <row r="61" spans="1:16" ht="12.75">
      <c r="A61" s="16">
        <v>41115</v>
      </c>
      <c r="B61">
        <v>7.67</v>
      </c>
      <c r="C61" s="143">
        <f>_XLL.DIATRABALHOTOTAL(A61,$B$2,Feriado!$A$1:$L$62)-1</f>
        <v>363</v>
      </c>
      <c r="D61">
        <v>7.97</v>
      </c>
      <c r="E61" s="143">
        <f>_XLL.DIATRABALHOTOTAL(A61,$D$2,Feriado!$A$1:$L$62)-1</f>
        <v>484</v>
      </c>
      <c r="F61">
        <v>8.18</v>
      </c>
      <c r="G61" s="143">
        <f>_XLL.DIATRABALHOTOTAL(A61,$F$2,Feriado!$A$1:$L$62)-1</f>
        <v>615</v>
      </c>
      <c r="H61">
        <v>8.4</v>
      </c>
      <c r="I61" s="143">
        <f>_XLL.DIATRABALHOTOTAL(A61,$H$2,Feriado!$A$1:$L$62)-1</f>
        <v>738</v>
      </c>
      <c r="J61" s="235">
        <v>7.84</v>
      </c>
      <c r="K61" s="235">
        <v>7.89</v>
      </c>
      <c r="L61" s="235">
        <f t="shared" si="0"/>
        <v>1.000299562562985</v>
      </c>
      <c r="M61" s="235">
        <f t="shared" si="1"/>
        <v>1.0190667177922619</v>
      </c>
      <c r="O61" s="270"/>
      <c r="P61" s="16"/>
    </row>
    <row r="62" spans="1:16" ht="12.75">
      <c r="A62" s="16">
        <v>41116</v>
      </c>
      <c r="B62">
        <v>7.74</v>
      </c>
      <c r="C62" s="143">
        <f>_XLL.DIATRABALHOTOTAL(A62,$B$2,Feriado!$A$1:$L$62)-1</f>
        <v>362</v>
      </c>
      <c r="D62">
        <v>8.04</v>
      </c>
      <c r="E62" s="143">
        <f>_XLL.DIATRABALHOTOTAL(A62,$D$2,Feriado!$A$1:$L$62)-1</f>
        <v>483</v>
      </c>
      <c r="F62">
        <v>8.24</v>
      </c>
      <c r="G62" s="143">
        <f>_XLL.DIATRABALHOTOTAL(A62,$F$2,Feriado!$A$1:$L$62)-1</f>
        <v>614</v>
      </c>
      <c r="H62">
        <v>8.479</v>
      </c>
      <c r="I62" s="143">
        <f>_XLL.DIATRABALHOTOTAL(A62,$H$2,Feriado!$A$1:$L$62)-1</f>
        <v>737</v>
      </c>
      <c r="J62" s="235">
        <v>7.8100000000000005</v>
      </c>
      <c r="K62" s="235">
        <v>7.89</v>
      </c>
      <c r="L62" s="235">
        <f t="shared" si="0"/>
        <v>1.0002984581510554</v>
      </c>
      <c r="M62" s="235">
        <f t="shared" si="1"/>
        <v>1.0193708665606562</v>
      </c>
      <c r="O62" s="270"/>
      <c r="P62" s="16"/>
    </row>
    <row r="63" spans="1:16" ht="12.75">
      <c r="A63" s="16">
        <v>41117</v>
      </c>
      <c r="B63">
        <v>7.86</v>
      </c>
      <c r="C63" s="143">
        <f>_XLL.DIATRABALHOTOTAL(A63,$B$2,Feriado!$A$1:$L$62)-1</f>
        <v>361</v>
      </c>
      <c r="D63">
        <v>8.19</v>
      </c>
      <c r="E63" s="143">
        <f>_XLL.DIATRABALHOTOTAL(A63,$D$2,Feriado!$A$1:$L$62)-1</f>
        <v>482</v>
      </c>
      <c r="F63">
        <v>8.4</v>
      </c>
      <c r="G63" s="143">
        <f>_XLL.DIATRABALHOTOTAL(A63,$F$2,Feriado!$A$1:$L$62)-1</f>
        <v>613</v>
      </c>
      <c r="H63">
        <v>8.645</v>
      </c>
      <c r="I63" s="143">
        <f>_XLL.DIATRABALHOTOTAL(A63,$H$2,Feriado!$A$1:$L$62)-1</f>
        <v>736</v>
      </c>
      <c r="J63" s="235">
        <v>7.79</v>
      </c>
      <c r="K63" s="235">
        <v>7.89</v>
      </c>
      <c r="L63" s="235">
        <f t="shared" si="0"/>
        <v>1.000297721706366</v>
      </c>
      <c r="M63" s="235">
        <f t="shared" si="1"/>
        <v>1.0196743553944685</v>
      </c>
      <c r="O63" s="270"/>
      <c r="P63" s="16"/>
    </row>
    <row r="64" spans="1:16" ht="12.75">
      <c r="A64" s="16">
        <v>41120</v>
      </c>
      <c r="B64">
        <v>7.84</v>
      </c>
      <c r="C64" s="143">
        <f>_XLL.DIATRABALHOTOTAL(A64,$B$2,Feriado!$A$1:$L$62)-1</f>
        <v>360</v>
      </c>
      <c r="D64">
        <v>8.16</v>
      </c>
      <c r="E64" s="143">
        <f>_XLL.DIATRABALHOTOTAL(A64,$D$2,Feriado!$A$1:$L$62)-1</f>
        <v>481</v>
      </c>
      <c r="F64">
        <v>8.39</v>
      </c>
      <c r="G64" s="143">
        <f>_XLL.DIATRABALHOTOTAL(A64,$F$2,Feriado!$A$1:$L$62)-1</f>
        <v>612</v>
      </c>
      <c r="H64">
        <v>8.615</v>
      </c>
      <c r="I64" s="143">
        <f>_XLL.DIATRABALHOTOTAL(A64,$H$2,Feriado!$A$1:$L$62)-1</f>
        <v>735</v>
      </c>
      <c r="J64" s="235">
        <v>7.83</v>
      </c>
      <c r="K64" s="235">
        <v>7.89</v>
      </c>
      <c r="L64" s="235">
        <f t="shared" si="0"/>
        <v>1.0002991944596806</v>
      </c>
      <c r="M64" s="235">
        <f t="shared" si="1"/>
        <v>1.019979436312281</v>
      </c>
      <c r="O64" s="270"/>
      <c r="P64" s="16"/>
    </row>
    <row r="65" spans="1:16" ht="12.75">
      <c r="A65" s="16">
        <v>41121</v>
      </c>
      <c r="B65">
        <v>7.85</v>
      </c>
      <c r="C65" s="143">
        <f>_XLL.DIATRABALHOTOTAL(A65,$B$2,Feriado!$A$1:$L$62)-1</f>
        <v>359</v>
      </c>
      <c r="D65">
        <v>8.17</v>
      </c>
      <c r="E65" s="143">
        <f>_XLL.DIATRABALHOTOTAL(A65,$D$2,Feriado!$A$1:$L$62)-1</f>
        <v>480</v>
      </c>
      <c r="F65">
        <v>8.36</v>
      </c>
      <c r="G65" s="143">
        <f>_XLL.DIATRABALHOTOTAL(A65,$F$2,Feriado!$A$1:$L$62)-1</f>
        <v>611</v>
      </c>
      <c r="H65">
        <v>8.6</v>
      </c>
      <c r="I65" s="143">
        <f>_XLL.DIATRABALHOTOTAL(A65,$H$2,Feriado!$A$1:$L$62)-1</f>
        <v>734</v>
      </c>
      <c r="J65" s="235">
        <v>7.83</v>
      </c>
      <c r="K65" s="235">
        <v>7.89</v>
      </c>
      <c r="L65" s="235">
        <f t="shared" si="0"/>
        <v>1.0002991944596806</v>
      </c>
      <c r="M65" s="235">
        <f t="shared" si="1"/>
        <v>1.0202846085086137</v>
      </c>
      <c r="O65" s="270"/>
      <c r="P65" s="16"/>
    </row>
    <row r="66" spans="1:16" ht="12.75">
      <c r="A66" s="16">
        <v>41122</v>
      </c>
      <c r="B66">
        <v>7.76</v>
      </c>
      <c r="C66" s="143">
        <f>_XLL.DIATRABALHOTOTAL(A66,$B$2,Feriado!$A$1:$L$62)-1</f>
        <v>358</v>
      </c>
      <c r="D66">
        <v>8.07</v>
      </c>
      <c r="E66" s="143">
        <f>_XLL.DIATRABALHOTOTAL(A66,$D$2,Feriado!$A$1:$L$62)-1</f>
        <v>479</v>
      </c>
      <c r="F66">
        <v>8.26</v>
      </c>
      <c r="G66" s="143">
        <f>_XLL.DIATRABALHOTOTAL(A66,$F$2,Feriado!$A$1:$L$62)-1</f>
        <v>610</v>
      </c>
      <c r="H66">
        <v>8.48</v>
      </c>
      <c r="I66" s="143">
        <f>_XLL.DIATRABALHOTOTAL(A66,$H$2,Feriado!$A$1:$L$62)-1</f>
        <v>733</v>
      </c>
      <c r="J66" s="235">
        <v>7.83</v>
      </c>
      <c r="K66" s="235">
        <v>7.89</v>
      </c>
      <c r="L66" s="235">
        <f t="shared" si="0"/>
        <v>1.0002991944596806</v>
      </c>
      <c r="M66" s="235">
        <f t="shared" si="1"/>
        <v>1.0205898720107769</v>
      </c>
      <c r="O66" s="270"/>
      <c r="P66" s="16"/>
    </row>
    <row r="67" spans="1:16" ht="12.75">
      <c r="A67" s="16">
        <v>41123</v>
      </c>
      <c r="B67">
        <v>7.72</v>
      </c>
      <c r="C67" s="143">
        <f>_XLL.DIATRABALHOTOTAL(A67,$B$2,Feriado!$A$1:$L$62)-1</f>
        <v>357</v>
      </c>
      <c r="D67">
        <v>8.03</v>
      </c>
      <c r="E67" s="143">
        <f>_XLL.DIATRABALHOTOTAL(A67,$D$2,Feriado!$A$1:$L$62)-1</f>
        <v>478</v>
      </c>
      <c r="F67">
        <v>8.22</v>
      </c>
      <c r="G67" s="143">
        <f>_XLL.DIATRABALHOTOTAL(A67,$F$2,Feriado!$A$1:$L$62)-1</f>
        <v>609</v>
      </c>
      <c r="H67">
        <v>8.45</v>
      </c>
      <c r="I67" s="143">
        <f>_XLL.DIATRABALHOTOTAL(A67,$H$2,Feriado!$A$1:$L$62)-1</f>
        <v>732</v>
      </c>
      <c r="J67" s="235">
        <v>7.82</v>
      </c>
      <c r="K67" s="235">
        <v>7.89</v>
      </c>
      <c r="L67" s="235">
        <f t="shared" si="0"/>
        <v>1.0002988263223729</v>
      </c>
      <c r="M67" s="235">
        <f t="shared" si="1"/>
        <v>1.020894851128881</v>
      </c>
      <c r="O67" s="270"/>
      <c r="P67" s="16"/>
    </row>
    <row r="68" spans="1:16" ht="12.75">
      <c r="A68" s="16">
        <v>41124</v>
      </c>
      <c r="B68">
        <v>7.78</v>
      </c>
      <c r="C68" s="143">
        <f>_XLL.DIATRABALHOTOTAL(A68,$B$2,Feriado!$A$1:$L$62)-1</f>
        <v>356</v>
      </c>
      <c r="D68">
        <v>8.08</v>
      </c>
      <c r="E68" s="143">
        <f>_XLL.DIATRABALHOTOTAL(A68,$D$2,Feriado!$A$1:$L$62)-1</f>
        <v>477</v>
      </c>
      <c r="F68">
        <v>8.28</v>
      </c>
      <c r="G68" s="143">
        <f>_XLL.DIATRABALHOTOTAL(A68,$F$2,Feriado!$A$1:$L$62)-1</f>
        <v>608</v>
      </c>
      <c r="H68">
        <v>8.515</v>
      </c>
      <c r="I68" s="143">
        <f>_XLL.DIATRABALHOTOTAL(A68,$H$2,Feriado!$A$1:$L$62)-1</f>
        <v>731</v>
      </c>
      <c r="J68" s="235">
        <v>7.83</v>
      </c>
      <c r="K68" s="235">
        <v>7.89</v>
      </c>
      <c r="L68" s="235">
        <f aca="true" t="shared" si="2" ref="L68:L131">(1+J68/100)^(1/252)</f>
        <v>1.0002991944596806</v>
      </c>
      <c r="M68" s="235">
        <f t="shared" si="1"/>
        <v>1.0212002972122551</v>
      </c>
      <c r="O68" s="270"/>
      <c r="P68" s="16"/>
    </row>
    <row r="69" spans="1:16" ht="12.75">
      <c r="A69" s="16">
        <v>41127</v>
      </c>
      <c r="B69">
        <v>7.79</v>
      </c>
      <c r="C69" s="143">
        <f>_XLL.DIATRABALHOTOTAL(A69,$B$2,Feriado!$A$1:$L$62)-1</f>
        <v>355</v>
      </c>
      <c r="D69">
        <v>8.1</v>
      </c>
      <c r="E69" s="143">
        <f>_XLL.DIATRABALHOTOTAL(A69,$D$2,Feriado!$A$1:$L$62)-1</f>
        <v>476</v>
      </c>
      <c r="F69">
        <v>8.31</v>
      </c>
      <c r="G69" s="143">
        <f>_XLL.DIATRABALHOTOTAL(A69,$F$2,Feriado!$A$1:$L$62)-1</f>
        <v>607</v>
      </c>
      <c r="H69">
        <v>8.55</v>
      </c>
      <c r="I69" s="143">
        <f>_XLL.DIATRABALHOTOTAL(A69,$H$2,Feriado!$A$1:$L$62)-1</f>
        <v>730</v>
      </c>
      <c r="J69" s="235">
        <v>7.82</v>
      </c>
      <c r="K69" s="235">
        <v>7.89</v>
      </c>
      <c r="L69" s="235">
        <f t="shared" si="2"/>
        <v>1.0002988263223729</v>
      </c>
      <c r="M69" s="235">
        <f t="shared" si="1"/>
        <v>1.0215054587414771</v>
      </c>
      <c r="O69" s="270"/>
      <c r="P69" s="16"/>
    </row>
    <row r="70" spans="1:16" ht="12.75">
      <c r="A70" s="16">
        <v>41128</v>
      </c>
      <c r="B70">
        <v>7.77</v>
      </c>
      <c r="C70" s="143">
        <f>_XLL.DIATRABALHOTOTAL(A70,$B$2,Feriado!$A$1:$L$62)-1</f>
        <v>354</v>
      </c>
      <c r="D70">
        <v>8.07</v>
      </c>
      <c r="E70" s="143">
        <f>_XLL.DIATRABALHOTOTAL(A70,$D$2,Feriado!$A$1:$L$62)-1</f>
        <v>475</v>
      </c>
      <c r="F70">
        <v>8.28</v>
      </c>
      <c r="G70" s="143">
        <f>_XLL.DIATRABALHOTOTAL(A70,$F$2,Feriado!$A$1:$L$62)-1</f>
        <v>606</v>
      </c>
      <c r="H70">
        <v>8.49</v>
      </c>
      <c r="I70" s="143">
        <f>_XLL.DIATRABALHOTOTAL(A70,$H$2,Feriado!$A$1:$L$62)-1</f>
        <v>729</v>
      </c>
      <c r="J70" s="235">
        <v>7.82</v>
      </c>
      <c r="K70" s="235">
        <v>7.89</v>
      </c>
      <c r="L70" s="235">
        <f t="shared" si="2"/>
        <v>1.0002988263223729</v>
      </c>
      <c r="M70" s="235">
        <f aca="true" t="shared" si="3" ref="M70:M133">L70*M69</f>
        <v>1.0218107114609967</v>
      </c>
      <c r="O70" s="270"/>
      <c r="P70" s="16"/>
    </row>
    <row r="71" spans="1:16" ht="12.75">
      <c r="A71" s="16">
        <v>41129</v>
      </c>
      <c r="B71">
        <v>7.76</v>
      </c>
      <c r="C71" s="143">
        <f>_XLL.DIATRABALHOTOTAL(A71,$B$2,Feriado!$A$1:$L$62)-1</f>
        <v>353</v>
      </c>
      <c r="D71">
        <v>8.09</v>
      </c>
      <c r="E71" s="143">
        <f>_XLL.DIATRABALHOTOTAL(A71,$D$2,Feriado!$A$1:$L$62)-1</f>
        <v>474</v>
      </c>
      <c r="F71">
        <v>8.28</v>
      </c>
      <c r="G71" s="143">
        <f>_XLL.DIATRABALHOTOTAL(A71,$F$2,Feriado!$A$1:$L$62)-1</f>
        <v>605</v>
      </c>
      <c r="H71">
        <v>8.52</v>
      </c>
      <c r="I71" s="143">
        <f>_XLL.DIATRABALHOTOTAL(A71,$H$2,Feriado!$A$1:$L$62)-1</f>
        <v>728</v>
      </c>
      <c r="J71" s="235">
        <v>7.82</v>
      </c>
      <c r="K71" s="235">
        <v>7.89</v>
      </c>
      <c r="L71" s="235">
        <f t="shared" si="2"/>
        <v>1.0002988263223729</v>
      </c>
      <c r="M71" s="235">
        <f t="shared" si="3"/>
        <v>1.0221160553980637</v>
      </c>
      <c r="O71" s="270"/>
      <c r="P71" s="16"/>
    </row>
    <row r="72" spans="1:16" ht="12.75">
      <c r="A72" s="16">
        <v>41130</v>
      </c>
      <c r="B72">
        <v>7.77</v>
      </c>
      <c r="C72" s="143">
        <f>_XLL.DIATRABALHOTOTAL(A72,$B$2,Feriado!$A$1:$L$62)-1</f>
        <v>352</v>
      </c>
      <c r="D72">
        <v>8.1</v>
      </c>
      <c r="E72" s="143">
        <f>_XLL.DIATRABALHOTOTAL(A72,$D$2,Feriado!$A$1:$L$62)-1</f>
        <v>473</v>
      </c>
      <c r="F72">
        <v>8.33</v>
      </c>
      <c r="G72" s="143">
        <f>_XLL.DIATRABALHOTOTAL(A72,$F$2,Feriado!$A$1:$L$62)-1</f>
        <v>604</v>
      </c>
      <c r="H72">
        <v>8.6</v>
      </c>
      <c r="I72" s="143">
        <f>_XLL.DIATRABALHOTOTAL(A72,$H$2,Feriado!$A$1:$L$62)-1</f>
        <v>727</v>
      </c>
      <c r="J72" s="235">
        <v>7.82</v>
      </c>
      <c r="K72" s="235">
        <v>7.89</v>
      </c>
      <c r="L72" s="235">
        <f t="shared" si="2"/>
        <v>1.0002988263223729</v>
      </c>
      <c r="M72" s="235">
        <f t="shared" si="3"/>
        <v>1.0224214905799367</v>
      </c>
      <c r="O72" s="270"/>
      <c r="P72" s="16"/>
    </row>
    <row r="73" spans="1:16" ht="12.75">
      <c r="A73" s="16">
        <v>41131</v>
      </c>
      <c r="B73">
        <v>7.82</v>
      </c>
      <c r="C73" s="143">
        <f>_XLL.DIATRABALHOTOTAL(A73,$B$2,Feriado!$A$1:$L$62)-1</f>
        <v>351</v>
      </c>
      <c r="D73">
        <v>8.19</v>
      </c>
      <c r="E73" s="143">
        <f>_XLL.DIATRABALHOTOTAL(A73,$D$2,Feriado!$A$1:$L$62)-1</f>
        <v>472</v>
      </c>
      <c r="F73">
        <v>8.41</v>
      </c>
      <c r="G73" s="143">
        <f>_XLL.DIATRABALHOTOTAL(A73,$F$2,Feriado!$A$1:$L$62)-1</f>
        <v>603</v>
      </c>
      <c r="H73">
        <v>8.7</v>
      </c>
      <c r="I73" s="143">
        <f>_XLL.DIATRABALHOTOTAL(A73,$H$2,Feriado!$A$1:$L$62)-1</f>
        <v>726</v>
      </c>
      <c r="J73" s="235">
        <v>7.82</v>
      </c>
      <c r="K73" s="235">
        <v>7.89</v>
      </c>
      <c r="L73" s="235">
        <f t="shared" si="2"/>
        <v>1.0002988263223729</v>
      </c>
      <c r="M73" s="235">
        <f t="shared" si="3"/>
        <v>1.0227270170338818</v>
      </c>
      <c r="O73" s="270"/>
      <c r="P73" s="16"/>
    </row>
    <row r="74" spans="1:16" ht="12.75">
      <c r="A74" s="16">
        <v>41134</v>
      </c>
      <c r="B74">
        <v>7.75</v>
      </c>
      <c r="C74" s="143">
        <f>_XLL.DIATRABALHOTOTAL(A74,$B$2,Feriado!$A$1:$L$62)-1</f>
        <v>350</v>
      </c>
      <c r="D74">
        <v>8.11</v>
      </c>
      <c r="E74" s="143">
        <f>_XLL.DIATRABALHOTOTAL(A74,$D$2,Feriado!$A$1:$L$62)-1</f>
        <v>471</v>
      </c>
      <c r="F74">
        <v>8.34</v>
      </c>
      <c r="G74" s="143">
        <f>_XLL.DIATRABALHOTOTAL(A74,$F$2,Feriado!$A$1:$L$62)-1</f>
        <v>602</v>
      </c>
      <c r="H74">
        <v>8.63</v>
      </c>
      <c r="I74" s="143">
        <f>_XLL.DIATRABALHOTOTAL(A74,$H$2,Feriado!$A$1:$L$62)-1</f>
        <v>725</v>
      </c>
      <c r="J74" s="235">
        <v>7.8</v>
      </c>
      <c r="K74" s="235">
        <v>7.89</v>
      </c>
      <c r="L74" s="235">
        <f t="shared" si="2"/>
        <v>1.000298089945722</v>
      </c>
      <c r="M74" s="235">
        <f t="shared" si="3"/>
        <v>1.0230318816748778</v>
      </c>
      <c r="O74" s="270"/>
      <c r="P74" s="16"/>
    </row>
    <row r="75" spans="1:16" ht="12.75">
      <c r="A75" s="16">
        <v>41135</v>
      </c>
      <c r="B75">
        <v>7.75</v>
      </c>
      <c r="C75" s="143">
        <f>_XLL.DIATRABALHOTOTAL(A75,$B$2,Feriado!$A$1:$L$62)-1</f>
        <v>349</v>
      </c>
      <c r="D75">
        <v>8.13</v>
      </c>
      <c r="E75" s="143">
        <f>_XLL.DIATRABALHOTOTAL(A75,$D$2,Feriado!$A$1:$L$62)-1</f>
        <v>470</v>
      </c>
      <c r="F75">
        <v>8.37</v>
      </c>
      <c r="G75" s="143">
        <f>_XLL.DIATRABALHOTOTAL(A75,$F$2,Feriado!$A$1:$L$62)-1</f>
        <v>601</v>
      </c>
      <c r="H75">
        <v>8.64</v>
      </c>
      <c r="I75" s="143">
        <f>_XLL.DIATRABALHOTOTAL(A75,$H$2,Feriado!$A$1:$L$62)-1</f>
        <v>724</v>
      </c>
      <c r="J75" s="235">
        <v>7.83</v>
      </c>
      <c r="K75" s="235">
        <v>7.89</v>
      </c>
      <c r="L75" s="235">
        <f t="shared" si="2"/>
        <v>1.0002991944596806</v>
      </c>
      <c r="M75" s="235">
        <f t="shared" si="3"/>
        <v>1.0233379671459515</v>
      </c>
      <c r="O75" s="270"/>
      <c r="P75" s="16"/>
    </row>
    <row r="76" spans="1:16" ht="12.75">
      <c r="A76" s="16">
        <v>41136</v>
      </c>
      <c r="B76">
        <v>7.75</v>
      </c>
      <c r="C76" s="143">
        <f>_XLL.DIATRABALHOTOTAL(A76,$B$2,Feriado!$A$1:$L$62)-1</f>
        <v>348</v>
      </c>
      <c r="D76">
        <v>8.11</v>
      </c>
      <c r="E76" s="143">
        <f>_XLL.DIATRABALHOTOTAL(A76,$D$2,Feriado!$A$1:$L$62)-1</f>
        <v>469</v>
      </c>
      <c r="F76">
        <v>8.33</v>
      </c>
      <c r="G76" s="143">
        <f>_XLL.DIATRABALHOTOTAL(A76,$F$2,Feriado!$A$1:$L$62)-1</f>
        <v>600</v>
      </c>
      <c r="H76">
        <v>8.58</v>
      </c>
      <c r="I76" s="143">
        <f>_XLL.DIATRABALHOTOTAL(A76,$H$2,Feriado!$A$1:$L$62)-1</f>
        <v>723</v>
      </c>
      <c r="J76" s="235">
        <v>7.83</v>
      </c>
      <c r="K76" s="235">
        <v>7.89</v>
      </c>
      <c r="L76" s="235">
        <f t="shared" si="2"/>
        <v>1.0002991944596806</v>
      </c>
      <c r="M76" s="235">
        <f t="shared" si="3"/>
        <v>1.0236441441961024</v>
      </c>
      <c r="O76" s="270"/>
      <c r="P76" s="16"/>
    </row>
    <row r="77" spans="1:16" ht="12.75">
      <c r="A77" s="16">
        <v>41137</v>
      </c>
      <c r="B77">
        <v>7.87</v>
      </c>
      <c r="C77" s="143">
        <f>_XLL.DIATRABALHOTOTAL(A77,$B$2,Feriado!$A$1:$L$62)-1</f>
        <v>347</v>
      </c>
      <c r="D77">
        <v>8.25</v>
      </c>
      <c r="E77" s="143">
        <f>_XLL.DIATRABALHOTOTAL(A77,$D$2,Feriado!$A$1:$L$62)-1</f>
        <v>468</v>
      </c>
      <c r="F77">
        <v>8.47</v>
      </c>
      <c r="G77" s="143">
        <f>_XLL.DIATRABALHOTOTAL(A77,$F$2,Feriado!$A$1:$L$62)-1</f>
        <v>599</v>
      </c>
      <c r="H77">
        <v>8.72</v>
      </c>
      <c r="I77" s="143">
        <f>_XLL.DIATRABALHOTOTAL(A77,$H$2,Feriado!$A$1:$L$62)-1</f>
        <v>722</v>
      </c>
      <c r="J77" s="235">
        <v>7.82</v>
      </c>
      <c r="K77" s="235">
        <v>7.89</v>
      </c>
      <c r="L77" s="235">
        <f t="shared" si="2"/>
        <v>1.0002988263223729</v>
      </c>
      <c r="M77" s="235">
        <f t="shared" si="3"/>
        <v>1.023950036011131</v>
      </c>
      <c r="O77" s="270"/>
      <c r="P77" s="16"/>
    </row>
    <row r="78" spans="1:16" ht="12.75">
      <c r="A78" s="16">
        <v>41138</v>
      </c>
      <c r="B78">
        <v>7.86</v>
      </c>
      <c r="C78" s="143">
        <f>_XLL.DIATRABALHOTOTAL(A78,$B$2,Feriado!$A$1:$L$62)-1</f>
        <v>346</v>
      </c>
      <c r="D78">
        <v>8.24</v>
      </c>
      <c r="E78" s="143">
        <f>_XLL.DIATRABALHOTOTAL(A78,$D$2,Feriado!$A$1:$L$62)-1</f>
        <v>467</v>
      </c>
      <c r="F78">
        <v>8.46</v>
      </c>
      <c r="G78" s="143">
        <f>_XLL.DIATRABALHOTOTAL(A78,$F$2,Feriado!$A$1:$L$62)-1</f>
        <v>598</v>
      </c>
      <c r="H78">
        <v>8.711</v>
      </c>
      <c r="I78" s="143">
        <f>_XLL.DIATRABALHOTOTAL(A78,$H$2,Feriado!$A$1:$L$62)-1</f>
        <v>721</v>
      </c>
      <c r="J78" s="235">
        <v>7.84</v>
      </c>
      <c r="K78" s="235">
        <v>7.89</v>
      </c>
      <c r="L78" s="235">
        <f t="shared" si="2"/>
        <v>1.000299562562985</v>
      </c>
      <c r="M78" s="235">
        <f t="shared" si="3"/>
        <v>1.024256773108287</v>
      </c>
      <c r="O78" s="270"/>
      <c r="P78" s="16"/>
    </row>
    <row r="79" spans="1:16" ht="12.75">
      <c r="A79" s="16">
        <v>41141</v>
      </c>
      <c r="B79">
        <v>7.92</v>
      </c>
      <c r="C79" s="143">
        <f>_XLL.DIATRABALHOTOTAL(A79,$B$2,Feriado!$A$1:$L$62)-1</f>
        <v>345</v>
      </c>
      <c r="D79">
        <v>8.31</v>
      </c>
      <c r="E79" s="143">
        <f>_XLL.DIATRABALHOTOTAL(A79,$D$2,Feriado!$A$1:$L$62)-1</f>
        <v>466</v>
      </c>
      <c r="F79">
        <v>8.56</v>
      </c>
      <c r="G79" s="143">
        <f>_XLL.DIATRABALHOTOTAL(A79,$F$2,Feriado!$A$1:$L$62)-1</f>
        <v>597</v>
      </c>
      <c r="H79">
        <v>8.8</v>
      </c>
      <c r="I79" s="143">
        <f>_XLL.DIATRABALHOTOTAL(A79,$H$2,Feriado!$A$1:$L$62)-1</f>
        <v>720</v>
      </c>
      <c r="J79" s="235">
        <v>7.85</v>
      </c>
      <c r="K79" s="235">
        <v>7.89</v>
      </c>
      <c r="L79" s="235">
        <f t="shared" si="2"/>
        <v>1.000299930632292</v>
      </c>
      <c r="M79" s="235">
        <f t="shared" si="3"/>
        <v>1.0245639790898746</v>
      </c>
      <c r="O79" s="270"/>
      <c r="P79" s="16"/>
    </row>
    <row r="80" spans="1:16" ht="12.75">
      <c r="A80" s="16">
        <v>41142</v>
      </c>
      <c r="B80">
        <v>7.89</v>
      </c>
      <c r="C80" s="143">
        <f>_XLL.DIATRABALHOTOTAL(A80,$B$2,Feriado!$A$1:$L$62)-1</f>
        <v>344</v>
      </c>
      <c r="D80">
        <v>8.28</v>
      </c>
      <c r="E80" s="143">
        <f>_XLL.DIATRABALHOTOTAL(A80,$D$2,Feriado!$A$1:$L$62)-1</f>
        <v>465</v>
      </c>
      <c r="F80">
        <v>8.54</v>
      </c>
      <c r="G80" s="143">
        <f>_XLL.DIATRABALHOTOTAL(A80,$F$2,Feriado!$A$1:$L$62)-1</f>
        <v>596</v>
      </c>
      <c r="H80">
        <v>8.8</v>
      </c>
      <c r="I80" s="143">
        <f>_XLL.DIATRABALHOTOTAL(A80,$H$2,Feriado!$A$1:$L$62)-1</f>
        <v>719</v>
      </c>
      <c r="J80" s="235">
        <v>7.82</v>
      </c>
      <c r="K80" s="235">
        <v>7.89</v>
      </c>
      <c r="L80" s="235">
        <f t="shared" si="2"/>
        <v>1.0002988263223729</v>
      </c>
      <c r="M80" s="235">
        <f t="shared" si="3"/>
        <v>1.0248701457757818</v>
      </c>
      <c r="O80" s="270"/>
      <c r="P80" s="16"/>
    </row>
    <row r="81" spans="1:16" ht="12.75">
      <c r="A81" s="16">
        <v>41143</v>
      </c>
      <c r="B81">
        <v>7.93</v>
      </c>
      <c r="C81" s="143">
        <f>_XLL.DIATRABALHOTOTAL(A81,$B$2,Feriado!$A$1:$L$62)-1</f>
        <v>343</v>
      </c>
      <c r="D81">
        <v>8.32</v>
      </c>
      <c r="E81" s="143">
        <f>_XLL.DIATRABALHOTOTAL(A81,$D$2,Feriado!$A$1:$L$62)-1</f>
        <v>464</v>
      </c>
      <c r="F81">
        <v>8.6</v>
      </c>
      <c r="G81" s="143">
        <f>_XLL.DIATRABALHOTOTAL(A81,$F$2,Feriado!$A$1:$L$62)-1</f>
        <v>595</v>
      </c>
      <c r="H81">
        <v>8.85</v>
      </c>
      <c r="I81" s="143">
        <f>_XLL.DIATRABALHOTOTAL(A81,$H$2,Feriado!$A$1:$L$62)-1</f>
        <v>718</v>
      </c>
      <c r="J81" s="235">
        <v>7.8100000000000005</v>
      </c>
      <c r="K81" s="235">
        <v>7.89</v>
      </c>
      <c r="L81" s="235">
        <f t="shared" si="2"/>
        <v>1.0002984581510554</v>
      </c>
      <c r="M81" s="235">
        <f t="shared" si="3"/>
        <v>1.025176026624562</v>
      </c>
      <c r="O81" s="270"/>
      <c r="P81" s="16"/>
    </row>
    <row r="82" spans="1:16" ht="12.75">
      <c r="A82" s="16">
        <v>41144</v>
      </c>
      <c r="B82">
        <v>7.96</v>
      </c>
      <c r="C82" s="143">
        <f>_XLL.DIATRABALHOTOTAL(A82,$B$2,Feriado!$A$1:$L$62)-1</f>
        <v>342</v>
      </c>
      <c r="D82">
        <v>8.37</v>
      </c>
      <c r="E82" s="143">
        <f>_XLL.DIATRABALHOTOTAL(A82,$D$2,Feriado!$A$1:$L$62)-1</f>
        <v>463</v>
      </c>
      <c r="F82">
        <v>8.65</v>
      </c>
      <c r="G82" s="143">
        <f>_XLL.DIATRABALHOTOTAL(A82,$F$2,Feriado!$A$1:$L$62)-1</f>
        <v>594</v>
      </c>
      <c r="H82">
        <v>8.886</v>
      </c>
      <c r="I82" s="143">
        <f>_XLL.DIATRABALHOTOTAL(A82,$H$2,Feriado!$A$1:$L$62)-1</f>
        <v>717</v>
      </c>
      <c r="J82" s="235">
        <v>7.8100000000000005</v>
      </c>
      <c r="K82" s="235">
        <v>7.89</v>
      </c>
      <c r="L82" s="235">
        <f t="shared" si="2"/>
        <v>1.0002984581510554</v>
      </c>
      <c r="M82" s="235">
        <f t="shared" si="3"/>
        <v>1.0254819987659747</v>
      </c>
      <c r="O82" s="270"/>
      <c r="P82" s="16"/>
    </row>
    <row r="83" spans="1:16" ht="12.75">
      <c r="A83" s="16">
        <v>41145</v>
      </c>
      <c r="B83">
        <v>7.96</v>
      </c>
      <c r="C83" s="143">
        <f>_XLL.DIATRABALHOTOTAL(A83,$B$2,Feriado!$A$1:$L$62)-1</f>
        <v>341</v>
      </c>
      <c r="D83">
        <v>8.34</v>
      </c>
      <c r="E83" s="143">
        <f>_XLL.DIATRABALHOTOTAL(A83,$D$2,Feriado!$A$1:$L$62)-1</f>
        <v>462</v>
      </c>
      <c r="F83">
        <v>8.6</v>
      </c>
      <c r="G83" s="143">
        <f>_XLL.DIATRABALHOTOTAL(A83,$F$2,Feriado!$A$1:$L$62)-1</f>
        <v>593</v>
      </c>
      <c r="H83">
        <v>8.81</v>
      </c>
      <c r="I83" s="143">
        <f>_XLL.DIATRABALHOTOTAL(A83,$H$2,Feriado!$A$1:$L$62)-1</f>
        <v>716</v>
      </c>
      <c r="J83" s="235">
        <v>7.82</v>
      </c>
      <c r="K83" s="235">
        <v>7.89</v>
      </c>
      <c r="L83" s="235">
        <f t="shared" si="2"/>
        <v>1.0002988263223729</v>
      </c>
      <c r="M83" s="235">
        <f t="shared" si="3"/>
        <v>1.0257884397803254</v>
      </c>
      <c r="O83" s="270"/>
      <c r="P83" s="16"/>
    </row>
    <row r="84" spans="1:16" ht="12.75">
      <c r="A84" s="16">
        <v>41148</v>
      </c>
      <c r="B84">
        <v>7.89</v>
      </c>
      <c r="C84" s="143">
        <f>_XLL.DIATRABALHOTOTAL(A84,$B$2,Feriado!$A$1:$L$62)-1</f>
        <v>340</v>
      </c>
      <c r="D84">
        <v>8.26</v>
      </c>
      <c r="E84" s="143">
        <f>_XLL.DIATRABALHOTOTAL(A84,$D$2,Feriado!$A$1:$L$62)-1</f>
        <v>461</v>
      </c>
      <c r="F84">
        <v>8.52</v>
      </c>
      <c r="G84" s="143">
        <f>_XLL.DIATRABALHOTOTAL(A84,$F$2,Feriado!$A$1:$L$62)-1</f>
        <v>592</v>
      </c>
      <c r="H84">
        <v>8.74</v>
      </c>
      <c r="I84" s="143">
        <f>_XLL.DIATRABALHOTOTAL(A84,$H$2,Feriado!$A$1:$L$62)-1</f>
        <v>715</v>
      </c>
      <c r="J84" s="235">
        <v>7.83</v>
      </c>
      <c r="K84" s="235">
        <v>7.89</v>
      </c>
      <c r="L84" s="235">
        <f t="shared" si="2"/>
        <v>1.0002991944596806</v>
      </c>
      <c r="M84" s="235">
        <f t="shared" si="3"/>
        <v>1.026095349998312</v>
      </c>
      <c r="O84" s="270"/>
      <c r="P84" s="16"/>
    </row>
    <row r="85" spans="1:16" ht="12.75">
      <c r="A85" s="16">
        <v>41149</v>
      </c>
      <c r="B85">
        <v>7.82</v>
      </c>
      <c r="C85" s="143">
        <f>_XLL.DIATRABALHOTOTAL(A85,$B$2,Feriado!$A$1:$L$62)-1</f>
        <v>339</v>
      </c>
      <c r="D85">
        <v>8.18</v>
      </c>
      <c r="E85" s="143">
        <f>_XLL.DIATRABALHOTOTAL(A85,$D$2,Feriado!$A$1:$L$62)-1</f>
        <v>460</v>
      </c>
      <c r="F85">
        <v>8.45</v>
      </c>
      <c r="G85" s="143">
        <f>_XLL.DIATRABALHOTOTAL(A85,$F$2,Feriado!$A$1:$L$62)-1</f>
        <v>591</v>
      </c>
      <c r="H85">
        <v>8.68</v>
      </c>
      <c r="I85" s="143">
        <f>_XLL.DIATRABALHOTOTAL(A85,$H$2,Feriado!$A$1:$L$62)-1</f>
        <v>714</v>
      </c>
      <c r="J85" s="235">
        <v>7.83</v>
      </c>
      <c r="K85" s="235">
        <v>7.89</v>
      </c>
      <c r="L85" s="235">
        <f t="shared" si="2"/>
        <v>1.0002991944596806</v>
      </c>
      <c r="M85" s="235">
        <f t="shared" si="3"/>
        <v>1.0264023520421357</v>
      </c>
      <c r="O85" s="270"/>
      <c r="P85" s="16"/>
    </row>
    <row r="86" spans="1:16" ht="12.75">
      <c r="A86" s="16">
        <v>41150</v>
      </c>
      <c r="B86">
        <v>7.75</v>
      </c>
      <c r="C86" s="143">
        <f>_XLL.DIATRABALHOTOTAL(A86,$B$2,Feriado!$A$1:$L$62)-1</f>
        <v>338</v>
      </c>
      <c r="D86">
        <v>8.13</v>
      </c>
      <c r="E86" s="143">
        <f>_XLL.DIATRABALHOTOTAL(A86,$D$2,Feriado!$A$1:$L$62)-1</f>
        <v>459</v>
      </c>
      <c r="F86">
        <v>8.4</v>
      </c>
      <c r="G86" s="143">
        <f>_XLL.DIATRABALHOTOTAL(A86,$F$2,Feriado!$A$1:$L$62)-1</f>
        <v>590</v>
      </c>
      <c r="H86">
        <v>8.64</v>
      </c>
      <c r="I86" s="143">
        <f>_XLL.DIATRABALHOTOTAL(A86,$H$2,Feriado!$A$1:$L$62)-1</f>
        <v>713</v>
      </c>
      <c r="J86" s="235">
        <v>7.82</v>
      </c>
      <c r="K86" s="235">
        <v>7.89</v>
      </c>
      <c r="L86" s="235">
        <f t="shared" si="2"/>
        <v>1.0002988263223729</v>
      </c>
      <c r="M86" s="235">
        <f t="shared" si="3"/>
        <v>1.0267090680822712</v>
      </c>
      <c r="O86" s="270"/>
      <c r="P86" s="16"/>
    </row>
    <row r="87" spans="1:16" ht="12.75">
      <c r="A87" s="16">
        <v>41151</v>
      </c>
      <c r="B87">
        <v>7.83</v>
      </c>
      <c r="C87" s="143">
        <f>_XLL.DIATRABALHOTOTAL(A87,$B$2,Feriado!$A$1:$L$62)-1</f>
        <v>337</v>
      </c>
      <c r="D87">
        <v>8.2</v>
      </c>
      <c r="E87" s="143">
        <f>_XLL.DIATRABALHOTOTAL(A87,$D$2,Feriado!$A$1:$L$62)-1</f>
        <v>458</v>
      </c>
      <c r="F87">
        <v>8.45</v>
      </c>
      <c r="G87" s="143">
        <f>_XLL.DIATRABALHOTOTAL(A87,$F$2,Feriado!$A$1:$L$62)-1</f>
        <v>589</v>
      </c>
      <c r="H87">
        <v>8.65</v>
      </c>
      <c r="I87" s="143">
        <f>_XLL.DIATRABALHOTOTAL(A87,$H$2,Feriado!$A$1:$L$62)-1</f>
        <v>712</v>
      </c>
      <c r="J87" s="235">
        <v>7.38</v>
      </c>
      <c r="K87" s="235">
        <v>7.39</v>
      </c>
      <c r="L87" s="235">
        <f t="shared" si="2"/>
        <v>1.0002825945215423</v>
      </c>
      <c r="M87" s="235">
        <f t="shared" si="3"/>
        <v>1.026999210440129</v>
      </c>
      <c r="O87" s="270"/>
      <c r="P87" s="16"/>
    </row>
    <row r="88" spans="1:16" ht="12.75">
      <c r="A88" s="16">
        <v>41152</v>
      </c>
      <c r="B88">
        <v>7.82</v>
      </c>
      <c r="C88" s="143">
        <f>_XLL.DIATRABALHOTOTAL(A88,$B$2,Feriado!$A$1:$L$62)-1</f>
        <v>336</v>
      </c>
      <c r="D88">
        <v>8.19</v>
      </c>
      <c r="E88" s="143">
        <f>_XLL.DIATRABALHOTOTAL(A88,$D$2,Feriado!$A$1:$L$62)-1</f>
        <v>457</v>
      </c>
      <c r="F88">
        <v>8.44</v>
      </c>
      <c r="G88" s="143">
        <f>_XLL.DIATRABALHOTOTAL(A88,$F$2,Feriado!$A$1:$L$62)-1</f>
        <v>588</v>
      </c>
      <c r="H88">
        <v>8.6</v>
      </c>
      <c r="I88" s="143">
        <f>_XLL.DIATRABALHOTOTAL(A88,$H$2,Feriado!$A$1:$L$62)-1</f>
        <v>711</v>
      </c>
      <c r="J88" s="235">
        <v>7.38</v>
      </c>
      <c r="K88" s="235">
        <v>7.39</v>
      </c>
      <c r="L88" s="235">
        <f t="shared" si="2"/>
        <v>1.0002825945215423</v>
      </c>
      <c r="M88" s="235">
        <f t="shared" si="3"/>
        <v>1.0272894347906278</v>
      </c>
      <c r="O88" s="270"/>
      <c r="P88" s="16"/>
    </row>
    <row r="89" spans="1:16" ht="12.75">
      <c r="A89" s="16">
        <v>41155</v>
      </c>
      <c r="B89">
        <v>7.75</v>
      </c>
      <c r="C89" s="143">
        <f>_XLL.DIATRABALHOTOTAL(A89,$B$2,Feriado!$A$1:$L$62)-1</f>
        <v>335</v>
      </c>
      <c r="D89">
        <v>8.11</v>
      </c>
      <c r="E89" s="143">
        <f>_XLL.DIATRABALHOTOTAL(A89,$D$2,Feriado!$A$1:$L$62)-1</f>
        <v>456</v>
      </c>
      <c r="F89">
        <v>8.37</v>
      </c>
      <c r="G89" s="143">
        <f>_XLL.DIATRABALHOTOTAL(A89,$F$2,Feriado!$A$1:$L$62)-1</f>
        <v>587</v>
      </c>
      <c r="H89">
        <v>8.54</v>
      </c>
      <c r="I89" s="143">
        <f>_XLL.DIATRABALHOTOTAL(A89,$H$2,Feriado!$A$1:$L$62)-1</f>
        <v>710</v>
      </c>
      <c r="J89" s="235">
        <v>7.41</v>
      </c>
      <c r="K89" s="235">
        <v>7.39</v>
      </c>
      <c r="L89" s="235">
        <f t="shared" si="2"/>
        <v>1.0002837033378562</v>
      </c>
      <c r="M89" s="235">
        <f t="shared" si="3"/>
        <v>1.0275808802322224</v>
      </c>
      <c r="O89" s="270"/>
      <c r="P89" s="16"/>
    </row>
    <row r="90" spans="1:16" ht="12.75">
      <c r="A90" s="16">
        <v>41156</v>
      </c>
      <c r="B90">
        <v>7.78</v>
      </c>
      <c r="C90" s="143">
        <f>_XLL.DIATRABALHOTOTAL(A90,$B$2,Feriado!$A$1:$L$62)-1</f>
        <v>334</v>
      </c>
      <c r="D90">
        <v>8.15</v>
      </c>
      <c r="E90" s="143">
        <f>_XLL.DIATRABALHOTOTAL(A90,$D$2,Feriado!$A$1:$L$62)-1</f>
        <v>455</v>
      </c>
      <c r="F90">
        <v>8.39</v>
      </c>
      <c r="G90" s="143">
        <f>_XLL.DIATRABALHOTOTAL(A90,$F$2,Feriado!$A$1:$L$62)-1</f>
        <v>586</v>
      </c>
      <c r="H90">
        <v>8.58</v>
      </c>
      <c r="I90" s="143">
        <f>_XLL.DIATRABALHOTOTAL(A90,$H$2,Feriado!$A$1:$L$62)-1</f>
        <v>709</v>
      </c>
      <c r="J90" s="235">
        <v>7.39</v>
      </c>
      <c r="K90" s="235">
        <v>7.39</v>
      </c>
      <c r="L90" s="235">
        <f t="shared" si="2"/>
        <v>1.0002829641612603</v>
      </c>
      <c r="M90" s="235">
        <f t="shared" si="3"/>
        <v>1.0278716487941244</v>
      </c>
      <c r="O90" s="270"/>
      <c r="P90" s="16"/>
    </row>
    <row r="91" spans="1:16" ht="12.75">
      <c r="A91" s="16">
        <v>41157</v>
      </c>
      <c r="B91">
        <v>7.79</v>
      </c>
      <c r="C91" s="143">
        <f>_XLL.DIATRABALHOTOTAL(A91,$B$2,Feriado!$A$1:$L$62)-1</f>
        <v>333</v>
      </c>
      <c r="D91">
        <v>8.16</v>
      </c>
      <c r="E91" s="143">
        <f>_XLL.DIATRABALHOTOTAL(A91,$D$2,Feriado!$A$1:$L$62)-1</f>
        <v>454</v>
      </c>
      <c r="F91">
        <v>8.38</v>
      </c>
      <c r="G91" s="143">
        <f>_XLL.DIATRABALHOTOTAL(A91,$F$2,Feriado!$A$1:$L$62)-1</f>
        <v>585</v>
      </c>
      <c r="H91">
        <v>8.57</v>
      </c>
      <c r="I91" s="143">
        <f>_XLL.DIATRABALHOTOTAL(A91,$H$2,Feriado!$A$1:$L$62)-1</f>
        <v>708</v>
      </c>
      <c r="J91" s="235">
        <v>7.39</v>
      </c>
      <c r="K91" s="235">
        <v>7.39</v>
      </c>
      <c r="L91" s="235">
        <f t="shared" si="2"/>
        <v>1.0002829641612603</v>
      </c>
      <c r="M91" s="235">
        <f t="shared" si="3"/>
        <v>1.0281624996331087</v>
      </c>
      <c r="O91" s="270"/>
      <c r="P91" s="16"/>
    </row>
    <row r="92" spans="1:16" ht="12.75">
      <c r="A92" s="16">
        <v>41158</v>
      </c>
      <c r="B92">
        <v>7.82</v>
      </c>
      <c r="C92" s="143">
        <f>_XLL.DIATRABALHOTOTAL(A92,$B$2,Feriado!$A$1:$L$62)-1</f>
        <v>332</v>
      </c>
      <c r="D92">
        <v>8.19</v>
      </c>
      <c r="E92" s="143">
        <f>_XLL.DIATRABALHOTOTAL(A92,$D$2,Feriado!$A$1:$L$62)-1</f>
        <v>453</v>
      </c>
      <c r="F92">
        <v>8.44</v>
      </c>
      <c r="G92" s="143">
        <f>_XLL.DIATRABALHOTOTAL(A92,$F$2,Feriado!$A$1:$L$62)-1</f>
        <v>584</v>
      </c>
      <c r="H92">
        <v>8.64</v>
      </c>
      <c r="I92" s="143">
        <f>_XLL.DIATRABALHOTOTAL(A92,$H$2,Feriado!$A$1:$L$62)-1</f>
        <v>707</v>
      </c>
      <c r="J92" s="235">
        <v>7.39</v>
      </c>
      <c r="K92" s="235">
        <v>7.39</v>
      </c>
      <c r="L92" s="235">
        <f t="shared" si="2"/>
        <v>1.0002829641612603</v>
      </c>
      <c r="M92" s="235">
        <f t="shared" si="3"/>
        <v>1.0284534327724566</v>
      </c>
      <c r="O92" s="270"/>
      <c r="P92" s="16"/>
    </row>
    <row r="93" spans="1:16" ht="12.75">
      <c r="A93" s="16">
        <v>41162</v>
      </c>
      <c r="B93">
        <v>7.8100000000000005</v>
      </c>
      <c r="C93" s="143">
        <f>_XLL.DIATRABALHOTOTAL(A93,$B$2,Feriado!$A$1:$L$62)-1</f>
        <v>331</v>
      </c>
      <c r="D93">
        <v>8.23</v>
      </c>
      <c r="E93" s="143">
        <f>_XLL.DIATRABALHOTOTAL(A93,$D$2,Feriado!$A$1:$L$62)-1</f>
        <v>452</v>
      </c>
      <c r="F93">
        <v>8.48</v>
      </c>
      <c r="G93" s="143">
        <f>_XLL.DIATRABALHOTOTAL(A93,$F$2,Feriado!$A$1:$L$62)-1</f>
        <v>583</v>
      </c>
      <c r="H93">
        <v>8.68</v>
      </c>
      <c r="I93" s="143">
        <f>_XLL.DIATRABALHOTOTAL(A93,$H$2,Feriado!$A$1:$L$62)-1</f>
        <v>706</v>
      </c>
      <c r="J93" s="235">
        <v>7.38</v>
      </c>
      <c r="K93" s="235">
        <v>7.39</v>
      </c>
      <c r="L93" s="235">
        <f t="shared" si="2"/>
        <v>1.0002825945215423</v>
      </c>
      <c r="M93" s="235">
        <f t="shared" si="3"/>
        <v>1.0287440680782196</v>
      </c>
      <c r="O93" s="270"/>
      <c r="P93" s="16"/>
    </row>
    <row r="94" spans="1:16" ht="12.75">
      <c r="A94" s="16">
        <v>41163</v>
      </c>
      <c r="B94">
        <v>7.79</v>
      </c>
      <c r="C94" s="143">
        <f>_XLL.DIATRABALHOTOTAL(A94,$B$2,Feriado!$A$1:$L$62)-1</f>
        <v>330</v>
      </c>
      <c r="D94">
        <v>8.18</v>
      </c>
      <c r="E94" s="143">
        <f>_XLL.DIATRABALHOTOTAL(A94,$D$2,Feriado!$A$1:$L$62)-1</f>
        <v>451</v>
      </c>
      <c r="F94">
        <v>8.46</v>
      </c>
      <c r="G94" s="143">
        <f>_XLL.DIATRABALHOTOTAL(A94,$F$2,Feriado!$A$1:$L$62)-1</f>
        <v>582</v>
      </c>
      <c r="H94">
        <v>8.65</v>
      </c>
      <c r="I94" s="143">
        <f>_XLL.DIATRABALHOTOTAL(A94,$H$2,Feriado!$A$1:$L$62)-1</f>
        <v>705</v>
      </c>
      <c r="J94" s="235">
        <v>7.37</v>
      </c>
      <c r="K94" s="235">
        <v>7.39</v>
      </c>
      <c r="L94" s="235">
        <f t="shared" si="2"/>
        <v>1.0002822248475358</v>
      </c>
      <c r="M94" s="235">
        <f t="shared" si="3"/>
        <v>1.0290344052159863</v>
      </c>
      <c r="O94" s="270"/>
      <c r="P94" s="16"/>
    </row>
    <row r="95" spans="1:16" ht="12.75">
      <c r="A95" s="16">
        <v>41164</v>
      </c>
      <c r="B95">
        <v>7.78</v>
      </c>
      <c r="C95" s="143">
        <f>_XLL.DIATRABALHOTOTAL(A95,$B$2,Feriado!$A$1:$L$62)-1</f>
        <v>329</v>
      </c>
      <c r="D95">
        <v>8.15</v>
      </c>
      <c r="E95" s="143">
        <f>_XLL.DIATRABALHOTOTAL(A95,$D$2,Feriado!$A$1:$L$62)-1</f>
        <v>450</v>
      </c>
      <c r="F95">
        <v>8.45</v>
      </c>
      <c r="G95" s="143">
        <f>_XLL.DIATRABALHOTOTAL(A95,$F$2,Feriado!$A$1:$L$62)-1</f>
        <v>581</v>
      </c>
      <c r="H95">
        <v>8.65</v>
      </c>
      <c r="I95" s="143">
        <f>_XLL.DIATRABALHOTOTAL(A95,$H$2,Feriado!$A$1:$L$62)-1</f>
        <v>704</v>
      </c>
      <c r="J95" s="235">
        <v>7.36</v>
      </c>
      <c r="K95" s="235">
        <v>7.39</v>
      </c>
      <c r="L95" s="235">
        <f t="shared" si="2"/>
        <v>1.0002818551392345</v>
      </c>
      <c r="M95" s="235">
        <f t="shared" si="3"/>
        <v>1.0293244438515456</v>
      </c>
      <c r="O95" s="270"/>
      <c r="P95" s="16"/>
    </row>
    <row r="96" spans="1:16" ht="12.75">
      <c r="A96" s="16">
        <v>41165</v>
      </c>
      <c r="B96">
        <v>7.77</v>
      </c>
      <c r="C96" s="143">
        <f>_XLL.DIATRABALHOTOTAL(A96,$B$2,Feriado!$A$1:$L$62)-1</f>
        <v>328</v>
      </c>
      <c r="D96">
        <v>8.15</v>
      </c>
      <c r="E96" s="143">
        <f>_XLL.DIATRABALHOTOTAL(A96,$D$2,Feriado!$A$1:$L$62)-1</f>
        <v>449</v>
      </c>
      <c r="F96">
        <v>8.48</v>
      </c>
      <c r="G96" s="143">
        <f>_XLL.DIATRABALHOTOTAL(A96,$F$2,Feriado!$A$1:$L$62)-1</f>
        <v>580</v>
      </c>
      <c r="H96">
        <v>8.72</v>
      </c>
      <c r="I96" s="143">
        <f>_XLL.DIATRABALHOTOTAL(A96,$H$2,Feriado!$A$1:$L$62)-1</f>
        <v>703</v>
      </c>
      <c r="J96" s="235">
        <v>7.36</v>
      </c>
      <c r="K96" s="235">
        <v>7.39</v>
      </c>
      <c r="L96" s="235">
        <f t="shared" si="2"/>
        <v>1.0002818551392345</v>
      </c>
      <c r="M96" s="235">
        <f t="shared" si="3"/>
        <v>1.0296145642359849</v>
      </c>
      <c r="O96" s="270"/>
      <c r="P96" s="16"/>
    </row>
    <row r="97" spans="1:16" ht="12.75">
      <c r="A97" s="16">
        <v>41166</v>
      </c>
      <c r="B97">
        <v>7.78</v>
      </c>
      <c r="C97" s="143">
        <f>_XLL.DIATRABALHOTOTAL(A97,$B$2,Feriado!$A$1:$L$62)-1</f>
        <v>327</v>
      </c>
      <c r="D97">
        <v>8.16</v>
      </c>
      <c r="E97" s="143">
        <f>_XLL.DIATRABALHOTOTAL(A97,$D$2,Feriado!$A$1:$L$62)-1</f>
        <v>448</v>
      </c>
      <c r="F97">
        <v>8.47</v>
      </c>
      <c r="G97" s="143">
        <f>_XLL.DIATRABALHOTOTAL(A97,$F$2,Feriado!$A$1:$L$62)-1</f>
        <v>579</v>
      </c>
      <c r="H97">
        <v>8.71</v>
      </c>
      <c r="I97" s="143">
        <f>_XLL.DIATRABALHOTOTAL(A97,$H$2,Feriado!$A$1:$L$62)-1</f>
        <v>702</v>
      </c>
      <c r="J97" s="235">
        <v>7.35</v>
      </c>
      <c r="K97" s="235">
        <v>7.39</v>
      </c>
      <c r="L97" s="235">
        <f t="shared" si="2"/>
        <v>1.0002814853966318</v>
      </c>
      <c r="M97" s="235">
        <f t="shared" si="3"/>
        <v>1.0299043856999766</v>
      </c>
      <c r="O97" s="270"/>
      <c r="P97" s="16"/>
    </row>
    <row r="98" spans="1:16" ht="12.75">
      <c r="A98" s="16">
        <v>41169</v>
      </c>
      <c r="B98">
        <v>7.79</v>
      </c>
      <c r="C98" s="143">
        <f>_XLL.DIATRABALHOTOTAL(A98,$B$2,Feriado!$A$1:$L$62)-1</f>
        <v>326</v>
      </c>
      <c r="D98">
        <v>8.16</v>
      </c>
      <c r="E98" s="143">
        <f>_XLL.DIATRABALHOTOTAL(A98,$D$2,Feriado!$A$1:$L$62)-1</f>
        <v>447</v>
      </c>
      <c r="F98">
        <v>8.46</v>
      </c>
      <c r="G98" s="143">
        <f>_XLL.DIATRABALHOTOTAL(A98,$F$2,Feriado!$A$1:$L$62)-1</f>
        <v>578</v>
      </c>
      <c r="H98">
        <v>8.68</v>
      </c>
      <c r="I98" s="143">
        <f>_XLL.DIATRABALHOTOTAL(A98,$H$2,Feriado!$A$1:$L$62)-1</f>
        <v>701</v>
      </c>
      <c r="J98" s="235">
        <v>7.34</v>
      </c>
      <c r="K98" s="235">
        <v>7.39</v>
      </c>
      <c r="L98" s="235">
        <f t="shared" si="2"/>
        <v>1.0002811156197216</v>
      </c>
      <c r="M98" s="235">
        <f t="shared" si="3"/>
        <v>1.0301939079096165</v>
      </c>
      <c r="O98" s="270"/>
      <c r="P98" s="16"/>
    </row>
    <row r="99" spans="1:16" ht="12.75">
      <c r="A99" s="16">
        <v>41170</v>
      </c>
      <c r="B99">
        <v>7.82</v>
      </c>
      <c r="C99" s="143">
        <f>_XLL.DIATRABALHOTOTAL(A99,$B$2,Feriado!$A$1:$L$62)-1</f>
        <v>325</v>
      </c>
      <c r="D99">
        <v>8.19</v>
      </c>
      <c r="E99" s="143">
        <f>_XLL.DIATRABALHOTOTAL(A99,$D$2,Feriado!$A$1:$L$62)-1</f>
        <v>446</v>
      </c>
      <c r="F99">
        <v>8.49</v>
      </c>
      <c r="G99" s="143">
        <f>_XLL.DIATRABALHOTOTAL(A99,$F$2,Feriado!$A$1:$L$62)-1</f>
        <v>577</v>
      </c>
      <c r="H99">
        <v>8.71</v>
      </c>
      <c r="I99" s="143">
        <f>_XLL.DIATRABALHOTOTAL(A99,$H$2,Feriado!$A$1:$L$62)-1</f>
        <v>700</v>
      </c>
      <c r="J99" s="235">
        <v>7.33</v>
      </c>
      <c r="K99" s="235">
        <v>7.39</v>
      </c>
      <c r="L99" s="235">
        <f t="shared" si="2"/>
        <v>1.0002807458084972</v>
      </c>
      <c r="M99" s="235">
        <f t="shared" si="3"/>
        <v>1.0304831305312014</v>
      </c>
      <c r="O99" s="270"/>
      <c r="P99" s="16"/>
    </row>
    <row r="100" spans="1:16" ht="12.75">
      <c r="A100" s="16">
        <v>41171</v>
      </c>
      <c r="B100">
        <v>7.84</v>
      </c>
      <c r="C100" s="143">
        <f>_XLL.DIATRABALHOTOTAL(A100,$B$2,Feriado!$A$1:$L$62)-1</f>
        <v>324</v>
      </c>
      <c r="D100">
        <v>8.2</v>
      </c>
      <c r="E100" s="143">
        <f>_XLL.DIATRABALHOTOTAL(A100,$D$2,Feriado!$A$1:$L$62)-1</f>
        <v>445</v>
      </c>
      <c r="F100">
        <v>8.5</v>
      </c>
      <c r="G100" s="143">
        <f>_XLL.DIATRABALHOTOTAL(A100,$F$2,Feriado!$A$1:$L$62)-1</f>
        <v>576</v>
      </c>
      <c r="H100">
        <v>8.71</v>
      </c>
      <c r="I100" s="143">
        <f>_XLL.DIATRABALHOTOTAL(A100,$H$2,Feriado!$A$1:$L$62)-1</f>
        <v>699</v>
      </c>
      <c r="J100" s="235">
        <v>7.33</v>
      </c>
      <c r="K100" s="235">
        <v>7.39</v>
      </c>
      <c r="L100" s="235">
        <f t="shared" si="2"/>
        <v>1.0002807458084972</v>
      </c>
      <c r="M100" s="235">
        <f t="shared" si="3"/>
        <v>1.030772434350825</v>
      </c>
      <c r="O100" s="270"/>
      <c r="P100" s="16"/>
    </row>
    <row r="101" spans="1:16" ht="12.75">
      <c r="A101" s="16">
        <v>41172</v>
      </c>
      <c r="B101">
        <v>7.8</v>
      </c>
      <c r="C101" s="143">
        <f>_XLL.DIATRABALHOTOTAL(A101,$B$2,Feriado!$A$1:$L$62)-1</f>
        <v>323</v>
      </c>
      <c r="D101">
        <v>8.17</v>
      </c>
      <c r="E101" s="143">
        <f>_XLL.DIATRABALHOTOTAL(A101,$D$2,Feriado!$A$1:$L$62)-1</f>
        <v>444</v>
      </c>
      <c r="F101">
        <v>8.45</v>
      </c>
      <c r="G101" s="143">
        <f>_XLL.DIATRABALHOTOTAL(A101,$F$2,Feriado!$A$1:$L$62)-1</f>
        <v>575</v>
      </c>
      <c r="H101">
        <v>8.7</v>
      </c>
      <c r="I101" s="143">
        <f>_XLL.DIATRABALHOTOTAL(A101,$H$2,Feriado!$A$1:$L$62)-1</f>
        <v>698</v>
      </c>
      <c r="J101" s="235">
        <v>7.35</v>
      </c>
      <c r="K101" s="235">
        <v>7.39</v>
      </c>
      <c r="L101" s="235">
        <f t="shared" si="2"/>
        <v>1.0002814853966318</v>
      </c>
      <c r="M101" s="235">
        <f t="shared" si="3"/>
        <v>1.0310625817383454</v>
      </c>
      <c r="O101" s="270"/>
      <c r="P101" s="16"/>
    </row>
    <row r="102" spans="1:16" ht="12.75">
      <c r="A102" s="16">
        <v>41173</v>
      </c>
      <c r="B102">
        <v>7.78</v>
      </c>
      <c r="C102" s="143">
        <f>_XLL.DIATRABALHOTOTAL(A102,$B$2,Feriado!$A$1:$L$62)-1</f>
        <v>322</v>
      </c>
      <c r="D102">
        <v>8.15</v>
      </c>
      <c r="E102" s="143">
        <f>_XLL.DIATRABALHOTOTAL(A102,$D$2,Feriado!$A$1:$L$62)-1</f>
        <v>443</v>
      </c>
      <c r="F102">
        <v>8.44</v>
      </c>
      <c r="G102" s="143">
        <f>_XLL.DIATRABALHOTOTAL(A102,$F$2,Feriado!$A$1:$L$62)-1</f>
        <v>574</v>
      </c>
      <c r="H102">
        <v>8.67</v>
      </c>
      <c r="I102" s="143">
        <f>_XLL.DIATRABALHOTOTAL(A102,$H$2,Feriado!$A$1:$L$62)-1</f>
        <v>697</v>
      </c>
      <c r="J102" s="235">
        <v>7.35</v>
      </c>
      <c r="K102" s="235">
        <v>7.39</v>
      </c>
      <c r="L102" s="235">
        <f t="shared" si="2"/>
        <v>1.0002814853966318</v>
      </c>
      <c r="M102" s="235">
        <f t="shared" si="3"/>
        <v>1.0313528107981182</v>
      </c>
      <c r="O102" s="270"/>
      <c r="P102" s="16"/>
    </row>
    <row r="103" spans="1:16" ht="12.75">
      <c r="A103" s="16">
        <v>41176</v>
      </c>
      <c r="B103">
        <v>7.76</v>
      </c>
      <c r="C103" s="143">
        <f>_XLL.DIATRABALHOTOTAL(A103,$B$2,Feriado!$A$1:$L$62)-1</f>
        <v>321</v>
      </c>
      <c r="D103">
        <v>8.1</v>
      </c>
      <c r="E103" s="143">
        <f>_XLL.DIATRABALHOTOTAL(A103,$D$2,Feriado!$A$1:$L$62)-1</f>
        <v>442</v>
      </c>
      <c r="F103">
        <v>8.39</v>
      </c>
      <c r="G103" s="143">
        <f>_XLL.DIATRABALHOTOTAL(A103,$F$2,Feriado!$A$1:$L$62)-1</f>
        <v>573</v>
      </c>
      <c r="H103">
        <v>8.63</v>
      </c>
      <c r="I103" s="143">
        <f>_XLL.DIATRABALHOTOTAL(A103,$H$2,Feriado!$A$1:$L$62)-1</f>
        <v>696</v>
      </c>
      <c r="J103" s="235">
        <v>7.35</v>
      </c>
      <c r="K103" s="235">
        <v>7.39</v>
      </c>
      <c r="L103" s="235">
        <f t="shared" si="2"/>
        <v>1.0002814853966318</v>
      </c>
      <c r="M103" s="235">
        <f t="shared" si="3"/>
        <v>1.031643121553133</v>
      </c>
      <c r="O103" s="270"/>
      <c r="P103" s="16"/>
    </row>
    <row r="104" spans="1:16" ht="12.75">
      <c r="A104" s="16">
        <v>41177</v>
      </c>
      <c r="B104">
        <v>7.73</v>
      </c>
      <c r="C104" s="143">
        <f>_XLL.DIATRABALHOTOTAL(A104,$B$2,Feriado!$A$1:$L$62)-1</f>
        <v>320</v>
      </c>
      <c r="D104">
        <v>8.06</v>
      </c>
      <c r="E104" s="143">
        <f>_XLL.DIATRABALHOTOTAL(A104,$D$2,Feriado!$A$1:$L$62)-1</f>
        <v>441</v>
      </c>
      <c r="F104">
        <v>8.34</v>
      </c>
      <c r="G104" s="143">
        <f>_XLL.DIATRABALHOTOTAL(A104,$F$2,Feriado!$A$1:$L$62)-1</f>
        <v>572</v>
      </c>
      <c r="H104">
        <v>8.58</v>
      </c>
      <c r="I104" s="143">
        <f>_XLL.DIATRABALHOTOTAL(A104,$H$2,Feriado!$A$1:$L$62)-1</f>
        <v>695</v>
      </c>
      <c r="J104" s="235">
        <v>7.38</v>
      </c>
      <c r="K104" s="235">
        <v>7.39</v>
      </c>
      <c r="L104" s="235">
        <f t="shared" si="2"/>
        <v>1.0002825945215423</v>
      </c>
      <c r="M104" s="235">
        <f t="shared" si="3"/>
        <v>1.0319346582474707</v>
      </c>
      <c r="O104" s="270"/>
      <c r="P104" s="16"/>
    </row>
    <row r="105" spans="1:16" ht="12.75">
      <c r="A105" s="16">
        <v>41178</v>
      </c>
      <c r="B105">
        <v>7.73</v>
      </c>
      <c r="C105" s="143">
        <f>_XLL.DIATRABALHOTOTAL(A105,$B$2,Feriado!$A$1:$L$62)-1</f>
        <v>319</v>
      </c>
      <c r="D105">
        <v>8.06</v>
      </c>
      <c r="E105" s="143">
        <f>_XLL.DIATRABALHOTOTAL(A105,$D$2,Feriado!$A$1:$L$62)-1</f>
        <v>440</v>
      </c>
      <c r="F105">
        <v>8.34</v>
      </c>
      <c r="G105" s="143">
        <f>_XLL.DIATRABALHOTOTAL(A105,$F$2,Feriado!$A$1:$L$62)-1</f>
        <v>571</v>
      </c>
      <c r="H105">
        <v>8.58</v>
      </c>
      <c r="I105" s="143">
        <f>_XLL.DIATRABALHOTOTAL(A105,$H$2,Feriado!$A$1:$L$62)-1</f>
        <v>694</v>
      </c>
      <c r="J105" s="235">
        <v>7.37</v>
      </c>
      <c r="K105" s="235">
        <v>7.39</v>
      </c>
      <c r="L105" s="235">
        <f t="shared" si="2"/>
        <v>1.0002822248475358</v>
      </c>
      <c r="M105" s="235">
        <f t="shared" si="3"/>
        <v>1.0322258958490615</v>
      </c>
      <c r="O105" s="270"/>
      <c r="P105" s="16"/>
    </row>
    <row r="106" spans="1:16" ht="12.75">
      <c r="A106" s="16">
        <v>41179</v>
      </c>
      <c r="B106">
        <v>7.74</v>
      </c>
      <c r="C106" s="143">
        <f>_XLL.DIATRABALHOTOTAL(A106,$B$2,Feriado!$A$1:$L$62)-1</f>
        <v>318</v>
      </c>
      <c r="D106">
        <v>8.07</v>
      </c>
      <c r="E106" s="143">
        <f>_XLL.DIATRABALHOTOTAL(A106,$D$2,Feriado!$A$1:$L$62)-1</f>
        <v>439</v>
      </c>
      <c r="F106">
        <v>8.35</v>
      </c>
      <c r="G106" s="143">
        <f>_XLL.DIATRABALHOTOTAL(A106,$F$2,Feriado!$A$1:$L$62)-1</f>
        <v>570</v>
      </c>
      <c r="H106">
        <v>8.56</v>
      </c>
      <c r="I106" s="143">
        <f>_XLL.DIATRABALHOTOTAL(A106,$H$2,Feriado!$A$1:$L$62)-1</f>
        <v>693</v>
      </c>
      <c r="J106" s="235">
        <v>7.36</v>
      </c>
      <c r="K106" s="235">
        <v>7.39</v>
      </c>
      <c r="L106" s="235">
        <f t="shared" si="2"/>
        <v>1.0002818551392345</v>
      </c>
      <c r="M106" s="235">
        <f t="shared" si="3"/>
        <v>1.0325168340226576</v>
      </c>
      <c r="O106" s="270"/>
      <c r="P106" s="16"/>
    </row>
    <row r="107" spans="1:16" ht="12.75">
      <c r="A107" s="16">
        <v>41180</v>
      </c>
      <c r="B107">
        <v>7.71</v>
      </c>
      <c r="C107" s="143">
        <f>_XLL.DIATRABALHOTOTAL(A107,$B$2,Feriado!$A$1:$L$62)-1</f>
        <v>317</v>
      </c>
      <c r="D107">
        <v>8.03</v>
      </c>
      <c r="E107" s="143">
        <f>_XLL.DIATRABALHOTOTAL(A107,$D$2,Feriado!$A$1:$L$62)-1</f>
        <v>438</v>
      </c>
      <c r="F107">
        <v>8.31</v>
      </c>
      <c r="G107" s="143">
        <f>_XLL.DIATRABALHOTOTAL(A107,$F$2,Feriado!$A$1:$L$62)-1</f>
        <v>569</v>
      </c>
      <c r="H107">
        <v>8.52</v>
      </c>
      <c r="I107" s="143">
        <f>_XLL.DIATRABALHOTOTAL(A107,$H$2,Feriado!$A$1:$L$62)-1</f>
        <v>692</v>
      </c>
      <c r="J107" s="235">
        <v>7.36</v>
      </c>
      <c r="K107" s="235">
        <v>7.39</v>
      </c>
      <c r="L107" s="235">
        <f t="shared" si="2"/>
        <v>1.0002818551392345</v>
      </c>
      <c r="M107" s="235">
        <f t="shared" si="3"/>
        <v>1.032807854198673</v>
      </c>
      <c r="O107" s="270"/>
      <c r="P107" s="16"/>
    </row>
    <row r="108" spans="1:16" ht="12.75">
      <c r="A108" s="16">
        <v>41183</v>
      </c>
      <c r="B108">
        <v>7.67</v>
      </c>
      <c r="C108" s="143">
        <f>_XLL.DIATRABALHOTOTAL(A108,$B$2,Feriado!$A$1:$L$62)-1</f>
        <v>316</v>
      </c>
      <c r="D108">
        <v>7.99</v>
      </c>
      <c r="E108" s="143">
        <f>_XLL.DIATRABALHOTOTAL(A108,$D$2,Feriado!$A$1:$L$62)-1</f>
        <v>437</v>
      </c>
      <c r="F108">
        <v>8.26</v>
      </c>
      <c r="G108" s="143">
        <f>_XLL.DIATRABALHOTOTAL(A108,$F$2,Feriado!$A$1:$L$62)-1</f>
        <v>568</v>
      </c>
      <c r="H108">
        <v>8.49</v>
      </c>
      <c r="I108" s="143">
        <f>_XLL.DIATRABALHOTOTAL(A108,$H$2,Feriado!$A$1:$L$62)-1</f>
        <v>691</v>
      </c>
      <c r="J108" s="235">
        <v>7.36</v>
      </c>
      <c r="K108" s="235">
        <v>7.39</v>
      </c>
      <c r="L108" s="235">
        <f t="shared" si="2"/>
        <v>1.0002818551392345</v>
      </c>
      <c r="M108" s="235">
        <f t="shared" si="3"/>
        <v>1.0330989564002206</v>
      </c>
      <c r="O108" s="270"/>
      <c r="P108" s="16"/>
    </row>
    <row r="109" spans="1:16" ht="12.75">
      <c r="A109" s="16">
        <v>41184</v>
      </c>
      <c r="B109">
        <v>7.62</v>
      </c>
      <c r="C109" s="143">
        <f>_XLL.DIATRABALHOTOTAL(A109,$B$2,Feriado!$A$1:$L$62)-1</f>
        <v>315</v>
      </c>
      <c r="D109">
        <v>7.92</v>
      </c>
      <c r="E109" s="143">
        <f>_XLL.DIATRABALHOTOTAL(A109,$D$2,Feriado!$A$1:$L$62)-1</f>
        <v>436</v>
      </c>
      <c r="F109">
        <v>8.19</v>
      </c>
      <c r="G109" s="143">
        <f>_XLL.DIATRABALHOTOTAL(A109,$F$2,Feriado!$A$1:$L$62)-1</f>
        <v>567</v>
      </c>
      <c r="H109">
        <v>8.42</v>
      </c>
      <c r="I109" s="143">
        <f>_XLL.DIATRABALHOTOTAL(A109,$H$2,Feriado!$A$1:$L$62)-1</f>
        <v>690</v>
      </c>
      <c r="J109" s="235">
        <v>7.35</v>
      </c>
      <c r="K109" s="235">
        <v>7.39</v>
      </c>
      <c r="L109" s="235">
        <f t="shared" si="2"/>
        <v>1.0002814853966318</v>
      </c>
      <c r="M109" s="235">
        <f t="shared" si="3"/>
        <v>1.0333897586697227</v>
      </c>
      <c r="O109" s="270"/>
      <c r="P109" s="16"/>
    </row>
    <row r="110" spans="1:16" ht="12.75">
      <c r="A110" s="16">
        <v>41185</v>
      </c>
      <c r="B110">
        <v>7.61</v>
      </c>
      <c r="C110" s="143">
        <f>_XLL.DIATRABALHOTOTAL(A110,$B$2,Feriado!$A$1:$L$62)-1</f>
        <v>314</v>
      </c>
      <c r="D110">
        <v>7.91</v>
      </c>
      <c r="E110" s="143">
        <f>_XLL.DIATRABALHOTOTAL(A110,$D$2,Feriado!$A$1:$L$62)-1</f>
        <v>435</v>
      </c>
      <c r="F110">
        <v>8.18</v>
      </c>
      <c r="G110" s="143">
        <f>_XLL.DIATRABALHOTOTAL(A110,$F$2,Feriado!$A$1:$L$62)-1</f>
        <v>566</v>
      </c>
      <c r="H110">
        <v>8.43</v>
      </c>
      <c r="I110" s="143">
        <f>_XLL.DIATRABALHOTOTAL(A110,$H$2,Feriado!$A$1:$L$62)-1</f>
        <v>689</v>
      </c>
      <c r="J110" s="235">
        <v>7.36</v>
      </c>
      <c r="K110" s="235">
        <v>7.39</v>
      </c>
      <c r="L110" s="235">
        <f t="shared" si="2"/>
        <v>1.0002818551392345</v>
      </c>
      <c r="M110" s="235">
        <f t="shared" si="3"/>
        <v>1.033681024884036</v>
      </c>
      <c r="O110" s="270"/>
      <c r="P110" s="16"/>
    </row>
    <row r="111" spans="1:16" ht="12.75">
      <c r="A111" s="16">
        <v>41186</v>
      </c>
      <c r="B111">
        <v>7.59</v>
      </c>
      <c r="C111" s="143">
        <f>_XLL.DIATRABALHOTOTAL(A111,$B$2,Feriado!$A$1:$L$62)-1</f>
        <v>313</v>
      </c>
      <c r="D111">
        <v>7.89</v>
      </c>
      <c r="E111" s="143">
        <f>_XLL.DIATRABALHOTOTAL(A111,$D$2,Feriado!$A$1:$L$62)-1</f>
        <v>434</v>
      </c>
      <c r="F111">
        <v>8.15</v>
      </c>
      <c r="G111" s="143">
        <f>_XLL.DIATRABALHOTOTAL(A111,$F$2,Feriado!$A$1:$L$62)-1</f>
        <v>565</v>
      </c>
      <c r="H111">
        <v>8.39</v>
      </c>
      <c r="I111" s="143">
        <f>_XLL.DIATRABALHOTOTAL(A111,$H$2,Feriado!$A$1:$L$62)-1</f>
        <v>688</v>
      </c>
      <c r="J111" s="235">
        <v>7.36</v>
      </c>
      <c r="K111" s="235">
        <v>7.39</v>
      </c>
      <c r="L111" s="235">
        <f t="shared" si="2"/>
        <v>1.0002818551392345</v>
      </c>
      <c r="M111" s="235">
        <f t="shared" si="3"/>
        <v>1.0339723731932289</v>
      </c>
      <c r="O111" s="270"/>
      <c r="P111" s="16"/>
    </row>
    <row r="112" spans="1:16" ht="12.75">
      <c r="A112" s="16">
        <v>41187</v>
      </c>
      <c r="B112">
        <v>7.39</v>
      </c>
      <c r="C112" s="143">
        <f>_XLL.DIATRABALHOTOTAL(A112,$B$2,Feriado!$A$1:$L$62)-1</f>
        <v>312</v>
      </c>
      <c r="D112">
        <v>7.6899999999999995</v>
      </c>
      <c r="E112" s="143">
        <f>_XLL.DIATRABALHOTOTAL(A112,$D$2,Feriado!$A$1:$L$62)-1</f>
        <v>433</v>
      </c>
      <c r="F112">
        <v>7.95</v>
      </c>
      <c r="G112" s="143">
        <f>_XLL.DIATRABALHOTOTAL(A112,$F$2,Feriado!$A$1:$L$62)-1</f>
        <v>564</v>
      </c>
      <c r="H112">
        <v>8.18</v>
      </c>
      <c r="I112" s="143">
        <f>_XLL.DIATRABALHOTOTAL(A112,$H$2,Feriado!$A$1:$L$62)-1</f>
        <v>687</v>
      </c>
      <c r="J112" s="235">
        <v>7.36</v>
      </c>
      <c r="K112" s="235">
        <v>7.39</v>
      </c>
      <c r="L112" s="235">
        <f t="shared" si="2"/>
        <v>1.0002818551392345</v>
      </c>
      <c r="M112" s="235">
        <f t="shared" si="3"/>
        <v>1.03426380362044</v>
      </c>
      <c r="O112" s="270"/>
      <c r="P112" s="16"/>
    </row>
    <row r="113" spans="1:16" ht="12.75">
      <c r="A113" s="16">
        <v>41190</v>
      </c>
      <c r="B113">
        <v>7.45</v>
      </c>
      <c r="C113" s="143">
        <f>_XLL.DIATRABALHOTOTAL(A113,$B$2,Feriado!$A$1:$L$62)-1</f>
        <v>311</v>
      </c>
      <c r="D113">
        <v>7.72</v>
      </c>
      <c r="E113" s="143">
        <f>_XLL.DIATRABALHOTOTAL(A113,$D$2,Feriado!$A$1:$L$62)-1</f>
        <v>432</v>
      </c>
      <c r="F113">
        <v>7.98</v>
      </c>
      <c r="G113" s="143">
        <f>_XLL.DIATRABALHOTOTAL(A113,$F$2,Feriado!$A$1:$L$62)-1</f>
        <v>563</v>
      </c>
      <c r="H113">
        <v>8.25</v>
      </c>
      <c r="I113" s="143">
        <f>_XLL.DIATRABALHOTOTAL(A113,$H$2,Feriado!$A$1:$L$62)-1</f>
        <v>686</v>
      </c>
      <c r="J113" s="235">
        <v>7.36</v>
      </c>
      <c r="K113" s="235">
        <v>7.39</v>
      </c>
      <c r="L113" s="235">
        <f t="shared" si="2"/>
        <v>1.0002818551392345</v>
      </c>
      <c r="M113" s="235">
        <f t="shared" si="3"/>
        <v>1.0345553161888146</v>
      </c>
      <c r="O113" s="270"/>
      <c r="P113" s="16"/>
    </row>
    <row r="114" spans="1:16" ht="12.75">
      <c r="A114" s="16">
        <v>41191</v>
      </c>
      <c r="B114">
        <v>7.42</v>
      </c>
      <c r="C114" s="143">
        <f>_XLL.DIATRABALHOTOTAL(A114,$B$2,Feriado!$A$1:$L$62)-1</f>
        <v>310</v>
      </c>
      <c r="D114">
        <v>7.6899999999999995</v>
      </c>
      <c r="E114" s="143">
        <f>_XLL.DIATRABALHOTOTAL(A114,$D$2,Feriado!$A$1:$L$62)-1</f>
        <v>431</v>
      </c>
      <c r="F114">
        <v>7.9399999999999995</v>
      </c>
      <c r="G114" s="143">
        <f>_XLL.DIATRABALHOTOTAL(A114,$F$2,Feriado!$A$1:$L$62)-1</f>
        <v>562</v>
      </c>
      <c r="H114">
        <v>8.2</v>
      </c>
      <c r="I114" s="143">
        <f>_XLL.DIATRABALHOTOTAL(A114,$H$2,Feriado!$A$1:$L$62)-1</f>
        <v>685</v>
      </c>
      <c r="J114" s="235">
        <v>7.35</v>
      </c>
      <c r="K114" s="235">
        <v>7.39</v>
      </c>
      <c r="L114" s="235">
        <f t="shared" si="2"/>
        <v>1.0002814853966318</v>
      </c>
      <c r="M114" s="235">
        <f t="shared" si="3"/>
        <v>1.0348465284023294</v>
      </c>
      <c r="O114" s="270"/>
      <c r="P114" s="16"/>
    </row>
    <row r="115" spans="1:16" ht="12.75">
      <c r="A115" s="16">
        <v>41192</v>
      </c>
      <c r="B115">
        <v>7.45</v>
      </c>
      <c r="C115" s="143">
        <f>_XLL.DIATRABALHOTOTAL(A115,$B$2,Feriado!$A$1:$L$62)-1</f>
        <v>309</v>
      </c>
      <c r="D115">
        <v>7.75</v>
      </c>
      <c r="E115" s="143">
        <f>_XLL.DIATRABALHOTOTAL(A115,$D$2,Feriado!$A$1:$L$62)-1</f>
        <v>430</v>
      </c>
      <c r="F115">
        <v>7.99</v>
      </c>
      <c r="G115" s="143">
        <f>_XLL.DIATRABALHOTOTAL(A115,$F$2,Feriado!$A$1:$L$62)-1</f>
        <v>561</v>
      </c>
      <c r="H115">
        <v>8.24</v>
      </c>
      <c r="I115" s="143">
        <f>_XLL.DIATRABALHOTOTAL(A115,$H$2,Feriado!$A$1:$L$62)-1</f>
        <v>684</v>
      </c>
      <c r="J115" s="235">
        <v>7.33</v>
      </c>
      <c r="K115" s="235">
        <v>7.39</v>
      </c>
      <c r="L115" s="235">
        <f t="shared" si="2"/>
        <v>1.0002807458084972</v>
      </c>
      <c r="M115" s="235">
        <f t="shared" si="3"/>
        <v>1.0351370572276162</v>
      </c>
      <c r="O115" s="270"/>
      <c r="P115" s="16"/>
    </row>
    <row r="116" spans="1:16" ht="12.75">
      <c r="A116" s="16">
        <v>41193</v>
      </c>
      <c r="B116">
        <v>7.45</v>
      </c>
      <c r="C116" s="143">
        <f>_XLL.DIATRABALHOTOTAL(A116,$B$2,Feriado!$A$1:$L$62)-1</f>
        <v>308</v>
      </c>
      <c r="D116">
        <v>7.73</v>
      </c>
      <c r="E116" s="143">
        <f>_XLL.DIATRABALHOTOTAL(A116,$D$2,Feriado!$A$1:$L$62)-1</f>
        <v>429</v>
      </c>
      <c r="F116">
        <v>7.97</v>
      </c>
      <c r="G116" s="143">
        <f>_XLL.DIATRABALHOTOTAL(A116,$F$2,Feriado!$A$1:$L$62)-1</f>
        <v>560</v>
      </c>
      <c r="H116">
        <v>8.19</v>
      </c>
      <c r="I116" s="143">
        <f>_XLL.DIATRABALHOTOTAL(A116,$H$2,Feriado!$A$1:$L$62)-1</f>
        <v>683</v>
      </c>
      <c r="J116" s="235">
        <v>7.04</v>
      </c>
      <c r="K116" s="235">
        <v>7.14</v>
      </c>
      <c r="L116" s="235">
        <f t="shared" si="2"/>
        <v>1.0002700063276555</v>
      </c>
      <c r="M116" s="235">
        <f t="shared" si="3"/>
        <v>1.0354165507830584</v>
      </c>
      <c r="O116" s="270"/>
      <c r="P116" s="16"/>
    </row>
    <row r="117" spans="1:16" ht="12.75">
      <c r="A117" s="16">
        <v>41197</v>
      </c>
      <c r="B117">
        <v>7.46</v>
      </c>
      <c r="C117" s="143">
        <f>_XLL.DIATRABALHOTOTAL(A117,$B$2,Feriado!$A$1:$L$62)-1</f>
        <v>307</v>
      </c>
      <c r="D117">
        <v>7.74</v>
      </c>
      <c r="E117" s="143">
        <f>_XLL.DIATRABALHOTOTAL(A117,$D$2,Feriado!$A$1:$L$62)-1</f>
        <v>428</v>
      </c>
      <c r="F117">
        <v>7.97</v>
      </c>
      <c r="G117" s="143">
        <f>_XLL.DIATRABALHOTOTAL(A117,$F$2,Feriado!$A$1:$L$62)-1</f>
        <v>559</v>
      </c>
      <c r="H117">
        <v>8.21</v>
      </c>
      <c r="I117" s="143">
        <f>_XLL.DIATRABALHOTOTAL(A117,$H$2,Feriado!$A$1:$L$62)-1</f>
        <v>682</v>
      </c>
      <c r="J117" s="235">
        <v>7.04</v>
      </c>
      <c r="K117" s="235">
        <v>7.14</v>
      </c>
      <c r="L117" s="235">
        <f t="shared" si="2"/>
        <v>1.0002700063276555</v>
      </c>
      <c r="M117" s="235">
        <f t="shared" si="3"/>
        <v>1.035696119803529</v>
      </c>
      <c r="O117" s="270"/>
      <c r="P117" s="16"/>
    </row>
    <row r="118" spans="1:16" ht="12.75">
      <c r="A118" s="16">
        <v>41198</v>
      </c>
      <c r="B118">
        <v>7.39</v>
      </c>
      <c r="C118" s="143">
        <f>_XLL.DIATRABALHOTOTAL(A118,$B$2,Feriado!$A$1:$L$62)-1</f>
        <v>306</v>
      </c>
      <c r="D118">
        <v>7.65</v>
      </c>
      <c r="E118" s="143">
        <f>_XLL.DIATRABALHOTOTAL(A118,$D$2,Feriado!$A$1:$L$62)-1</f>
        <v>427</v>
      </c>
      <c r="F118">
        <v>7.87</v>
      </c>
      <c r="G118" s="143">
        <f>_XLL.DIATRABALHOTOTAL(A118,$F$2,Feriado!$A$1:$L$62)-1</f>
        <v>558</v>
      </c>
      <c r="H118">
        <v>8.08</v>
      </c>
      <c r="I118" s="143">
        <f>_XLL.DIATRABALHOTOTAL(A118,$H$2,Feriado!$A$1:$L$62)-1</f>
        <v>681</v>
      </c>
      <c r="J118" s="235">
        <v>7.05</v>
      </c>
      <c r="K118" s="235">
        <v>7.14</v>
      </c>
      <c r="L118" s="235">
        <f t="shared" si="2"/>
        <v>1.0002703771367696</v>
      </c>
      <c r="M118" s="235">
        <f t="shared" si="3"/>
        <v>1.035976148354965</v>
      </c>
      <c r="O118" s="270"/>
      <c r="P118" s="16"/>
    </row>
    <row r="119" spans="1:16" ht="12.75">
      <c r="A119" s="16">
        <v>41199</v>
      </c>
      <c r="B119">
        <v>7.43</v>
      </c>
      <c r="C119" s="143">
        <f>_XLL.DIATRABALHOTOTAL(A119,$B$2,Feriado!$A$1:$L$62)-1</f>
        <v>305</v>
      </c>
      <c r="D119">
        <v>7.71</v>
      </c>
      <c r="E119" s="143">
        <f>_XLL.DIATRABALHOTOTAL(A119,$D$2,Feriado!$A$1:$L$62)-1</f>
        <v>426</v>
      </c>
      <c r="F119">
        <v>7.93</v>
      </c>
      <c r="G119" s="143">
        <f>_XLL.DIATRABALHOTOTAL(A119,$F$2,Feriado!$A$1:$L$62)-1</f>
        <v>557</v>
      </c>
      <c r="H119">
        <v>8.16</v>
      </c>
      <c r="I119" s="143">
        <f>_XLL.DIATRABALHOTOTAL(A119,$H$2,Feriado!$A$1:$L$62)-1</f>
        <v>680</v>
      </c>
      <c r="J119" s="235">
        <v>7.06</v>
      </c>
      <c r="K119" s="235">
        <v>7.14</v>
      </c>
      <c r="L119" s="235">
        <f t="shared" si="2"/>
        <v>1.0002707479113837</v>
      </c>
      <c r="M119" s="235">
        <f t="shared" si="3"/>
        <v>1.0362566367333754</v>
      </c>
      <c r="O119" s="270"/>
      <c r="P119" s="16"/>
    </row>
    <row r="120" spans="1:16" ht="12.75">
      <c r="A120" s="16">
        <v>41200</v>
      </c>
      <c r="B120">
        <v>7.41</v>
      </c>
      <c r="C120" s="143">
        <f>_XLL.DIATRABALHOTOTAL(A120,$B$2,Feriado!$A$1:$L$62)-1</f>
        <v>304</v>
      </c>
      <c r="D120">
        <v>7.68</v>
      </c>
      <c r="E120" s="143">
        <f>_XLL.DIATRABALHOTOTAL(A120,$D$2,Feriado!$A$1:$L$62)-1</f>
        <v>425</v>
      </c>
      <c r="F120">
        <v>7.91</v>
      </c>
      <c r="G120" s="143">
        <f>_XLL.DIATRABALHOTOTAL(A120,$F$2,Feriado!$A$1:$L$62)-1</f>
        <v>556</v>
      </c>
      <c r="H120">
        <v>8.12</v>
      </c>
      <c r="I120" s="143">
        <f>_XLL.DIATRABALHOTOTAL(A120,$H$2,Feriado!$A$1:$L$62)-1</f>
        <v>679</v>
      </c>
      <c r="J120" s="235">
        <v>7.08</v>
      </c>
      <c r="K120" s="235">
        <v>7.14</v>
      </c>
      <c r="L120" s="235">
        <f t="shared" si="2"/>
        <v>1.0002714893571383</v>
      </c>
      <c r="M120" s="235">
        <f t="shared" si="3"/>
        <v>1.0365379693815124</v>
      </c>
      <c r="O120" s="270"/>
      <c r="P120" s="16"/>
    </row>
    <row r="121" spans="1:16" ht="12.75">
      <c r="A121" s="16">
        <v>41201</v>
      </c>
      <c r="B121">
        <v>7.42</v>
      </c>
      <c r="C121" s="143">
        <f>_XLL.DIATRABALHOTOTAL(A121,$B$2,Feriado!$A$1:$L$62)-1</f>
        <v>303</v>
      </c>
      <c r="D121">
        <v>7.7</v>
      </c>
      <c r="E121" s="143">
        <f>_XLL.DIATRABALHOTOTAL(A121,$D$2,Feriado!$A$1:$L$62)-1</f>
        <v>424</v>
      </c>
      <c r="F121">
        <v>7.93</v>
      </c>
      <c r="G121" s="143">
        <f>_XLL.DIATRABALHOTOTAL(A121,$F$2,Feriado!$A$1:$L$62)-1</f>
        <v>555</v>
      </c>
      <c r="H121">
        <v>8.15</v>
      </c>
      <c r="I121" s="143">
        <f>_XLL.DIATRABALHOTOTAL(A121,$H$2,Feriado!$A$1:$L$62)-1</f>
        <v>678</v>
      </c>
      <c r="J121" s="235">
        <v>7.08</v>
      </c>
      <c r="K121" s="235">
        <v>7.14</v>
      </c>
      <c r="L121" s="235">
        <f t="shared" si="2"/>
        <v>1.0002714893571383</v>
      </c>
      <c r="M121" s="235">
        <f t="shared" si="3"/>
        <v>1.0368193784084692</v>
      </c>
      <c r="O121" s="270"/>
      <c r="P121" s="16"/>
    </row>
    <row r="122" spans="1:16" ht="12.75">
      <c r="A122" s="16">
        <v>41204</v>
      </c>
      <c r="B122">
        <v>7.4</v>
      </c>
      <c r="C122" s="143">
        <f>_XLL.DIATRABALHOTOTAL(A122,$B$2,Feriado!$A$1:$L$62)-1</f>
        <v>302</v>
      </c>
      <c r="D122">
        <v>7.67</v>
      </c>
      <c r="E122" s="143">
        <f>_XLL.DIATRABALHOTOTAL(A122,$D$2,Feriado!$A$1:$L$62)-1</f>
        <v>423</v>
      </c>
      <c r="F122">
        <v>7.89</v>
      </c>
      <c r="G122" s="143">
        <f>_XLL.DIATRABALHOTOTAL(A122,$F$2,Feriado!$A$1:$L$62)-1</f>
        <v>554</v>
      </c>
      <c r="H122">
        <v>8.1</v>
      </c>
      <c r="I122" s="143">
        <f>_XLL.DIATRABALHOTOTAL(A122,$H$2,Feriado!$A$1:$L$62)-1</f>
        <v>677</v>
      </c>
      <c r="J122" s="235">
        <v>7.12</v>
      </c>
      <c r="K122" s="235">
        <v>7.14</v>
      </c>
      <c r="L122" s="235">
        <f t="shared" si="2"/>
        <v>1.0002729718349328</v>
      </c>
      <c r="M122" s="235">
        <f t="shared" si="3"/>
        <v>1.0371024008966871</v>
      </c>
      <c r="O122" s="270"/>
      <c r="P122" s="16"/>
    </row>
    <row r="123" spans="1:16" ht="12.75">
      <c r="A123" s="16">
        <v>41205</v>
      </c>
      <c r="B123">
        <v>7.39</v>
      </c>
      <c r="C123" s="143">
        <f>_XLL.DIATRABALHOTOTAL(A123,$B$2,Feriado!$A$1:$L$62)-1</f>
        <v>301</v>
      </c>
      <c r="D123">
        <v>7.66</v>
      </c>
      <c r="E123" s="143">
        <f>_XLL.DIATRABALHOTOTAL(A123,$D$2,Feriado!$A$1:$L$62)-1</f>
        <v>422</v>
      </c>
      <c r="F123">
        <v>7.88</v>
      </c>
      <c r="G123" s="143">
        <f>_XLL.DIATRABALHOTOTAL(A123,$F$2,Feriado!$A$1:$L$62)-1</f>
        <v>553</v>
      </c>
      <c r="H123">
        <v>8.07</v>
      </c>
      <c r="I123" s="143">
        <f>_XLL.DIATRABALHOTOTAL(A123,$H$2,Feriado!$A$1:$L$62)-1</f>
        <v>676</v>
      </c>
      <c r="J123" s="235">
        <v>7.12</v>
      </c>
      <c r="K123" s="235">
        <v>7.14</v>
      </c>
      <c r="L123" s="235">
        <f t="shared" si="2"/>
        <v>1.0002729718349328</v>
      </c>
      <c r="M123" s="235">
        <f t="shared" si="3"/>
        <v>1.0373855006420731</v>
      </c>
      <c r="O123" s="270"/>
      <c r="P123" s="16"/>
    </row>
    <row r="124" spans="1:16" ht="12.75">
      <c r="A124" s="16">
        <v>41206</v>
      </c>
      <c r="B124">
        <v>7.36</v>
      </c>
      <c r="C124" s="143">
        <f>_XLL.DIATRABALHOTOTAL(A124,$B$2,Feriado!$A$1:$L$62)-1</f>
        <v>300</v>
      </c>
      <c r="D124">
        <v>7.62</v>
      </c>
      <c r="E124" s="143">
        <f>_XLL.DIATRABALHOTOTAL(A124,$D$2,Feriado!$A$1:$L$62)-1</f>
        <v>421</v>
      </c>
      <c r="F124">
        <v>7.85</v>
      </c>
      <c r="G124" s="143">
        <f>_XLL.DIATRABALHOTOTAL(A124,$F$2,Feriado!$A$1:$L$62)-1</f>
        <v>552</v>
      </c>
      <c r="H124">
        <v>8.04</v>
      </c>
      <c r="I124" s="143">
        <f>_XLL.DIATRABALHOTOTAL(A124,$H$2,Feriado!$A$1:$L$62)-1</f>
        <v>675</v>
      </c>
      <c r="J124" s="235">
        <v>7.13</v>
      </c>
      <c r="K124" s="235">
        <v>7.14</v>
      </c>
      <c r="L124" s="235">
        <f t="shared" si="2"/>
        <v>1.0002733423682282</v>
      </c>
      <c r="M124" s="235">
        <f t="shared" si="3"/>
        <v>1.0376690620515843</v>
      </c>
      <c r="O124" s="270"/>
      <c r="P124" s="16"/>
    </row>
    <row r="125" spans="1:16" ht="12.75">
      <c r="A125" s="16">
        <v>41207</v>
      </c>
      <c r="B125">
        <v>7.34</v>
      </c>
      <c r="C125" s="143">
        <f>_XLL.DIATRABALHOTOTAL(A125,$B$2,Feriado!$A$1:$L$62)-1</f>
        <v>299</v>
      </c>
      <c r="D125">
        <v>7.59</v>
      </c>
      <c r="E125" s="143">
        <f>_XLL.DIATRABALHOTOTAL(A125,$D$2,Feriado!$A$1:$L$62)-1</f>
        <v>420</v>
      </c>
      <c r="F125">
        <v>7.82</v>
      </c>
      <c r="G125" s="143">
        <f>_XLL.DIATRABALHOTOTAL(A125,$F$2,Feriado!$A$1:$L$62)-1</f>
        <v>551</v>
      </c>
      <c r="H125">
        <v>8.03</v>
      </c>
      <c r="I125" s="143">
        <f>_XLL.DIATRABALHOTOTAL(A125,$H$2,Feriado!$A$1:$L$62)-1</f>
        <v>674</v>
      </c>
      <c r="J125" s="235">
        <v>7.11</v>
      </c>
      <c r="K125" s="235">
        <v>7.14</v>
      </c>
      <c r="L125" s="235">
        <f t="shared" si="2"/>
        <v>1.0002726012671825</v>
      </c>
      <c r="M125" s="235">
        <f t="shared" si="3"/>
        <v>1.0379519319528157</v>
      </c>
      <c r="O125" s="270"/>
      <c r="P125" s="16"/>
    </row>
    <row r="126" spans="1:16" ht="12.75">
      <c r="A126" s="16">
        <v>41208</v>
      </c>
      <c r="B126">
        <v>7.33</v>
      </c>
      <c r="C126" s="143">
        <f>_XLL.DIATRABALHOTOTAL(A126,$B$2,Feriado!$A$1:$L$62)-1</f>
        <v>298</v>
      </c>
      <c r="D126">
        <v>7.59</v>
      </c>
      <c r="E126" s="143">
        <f>_XLL.DIATRABALHOTOTAL(A126,$D$2,Feriado!$A$1:$L$62)-1</f>
        <v>419</v>
      </c>
      <c r="F126">
        <v>7.8</v>
      </c>
      <c r="G126" s="143">
        <f>_XLL.DIATRABALHOTOTAL(A126,$F$2,Feriado!$A$1:$L$62)-1</f>
        <v>550</v>
      </c>
      <c r="H126">
        <v>7.98</v>
      </c>
      <c r="I126" s="143">
        <f>_XLL.DIATRABALHOTOTAL(A126,$H$2,Feriado!$A$1:$L$62)-1</f>
        <v>673</v>
      </c>
      <c r="J126" s="235">
        <v>7.09</v>
      </c>
      <c r="K126" s="235">
        <v>7.14</v>
      </c>
      <c r="L126" s="235">
        <f t="shared" si="2"/>
        <v>1.0002718600282916</v>
      </c>
      <c r="M126" s="235">
        <f t="shared" si="3"/>
        <v>1.0382341095944017</v>
      </c>
      <c r="O126" s="270"/>
      <c r="P126" s="16"/>
    </row>
    <row r="127" spans="1:16" ht="12.75">
      <c r="A127" s="16">
        <v>41211</v>
      </c>
      <c r="B127">
        <v>7.34</v>
      </c>
      <c r="C127" s="143">
        <f>_XLL.DIATRABALHOTOTAL(A127,$B$2,Feriado!$A$1:$L$62)-1</f>
        <v>297</v>
      </c>
      <c r="D127">
        <v>7.6</v>
      </c>
      <c r="E127" s="143">
        <f>_XLL.DIATRABALHOTOTAL(A127,$D$2,Feriado!$A$1:$L$62)-1</f>
        <v>418</v>
      </c>
      <c r="F127">
        <v>7.79</v>
      </c>
      <c r="G127" s="143">
        <f>_XLL.DIATRABALHOTOTAL(A127,$F$2,Feriado!$A$1:$L$62)-1</f>
        <v>549</v>
      </c>
      <c r="H127">
        <v>7.99</v>
      </c>
      <c r="I127" s="143">
        <f>_XLL.DIATRABALHOTOTAL(A127,$H$2,Feriado!$A$1:$L$62)-1</f>
        <v>672</v>
      </c>
      <c r="J127" s="235">
        <v>7.08</v>
      </c>
      <c r="K127" s="235">
        <v>7.14</v>
      </c>
      <c r="L127" s="235">
        <f t="shared" si="2"/>
        <v>1.0002714893571383</v>
      </c>
      <c r="M127" s="235">
        <f t="shared" si="3"/>
        <v>1.0385159791053744</v>
      </c>
      <c r="O127" s="270"/>
      <c r="P127" s="16"/>
    </row>
    <row r="128" spans="1:16" ht="12.75">
      <c r="A128" s="16">
        <v>41212</v>
      </c>
      <c r="B128">
        <v>7.34</v>
      </c>
      <c r="C128" s="143">
        <f>_XLL.DIATRABALHOTOTAL(A128,$B$2,Feriado!$A$1:$L$62)-1</f>
        <v>296</v>
      </c>
      <c r="D128">
        <v>7.6</v>
      </c>
      <c r="E128" s="143">
        <f>_XLL.DIATRABALHOTOTAL(A128,$D$2,Feriado!$A$1:$L$62)-1</f>
        <v>417</v>
      </c>
      <c r="F128">
        <v>7.8100000000000005</v>
      </c>
      <c r="G128" s="143">
        <f>_XLL.DIATRABALHOTOTAL(A128,$F$2,Feriado!$A$1:$L$62)-1</f>
        <v>548</v>
      </c>
      <c r="H128">
        <v>8</v>
      </c>
      <c r="I128" s="143">
        <f>_XLL.DIATRABALHOTOTAL(A128,$H$2,Feriado!$A$1:$L$62)-1</f>
        <v>671</v>
      </c>
      <c r="J128" s="235">
        <v>7.07</v>
      </c>
      <c r="K128" s="235">
        <v>7.14</v>
      </c>
      <c r="L128" s="235">
        <f t="shared" si="2"/>
        <v>1.0002711186515045</v>
      </c>
      <c r="M128" s="235">
        <f t="shared" si="3"/>
        <v>1.0387975401571954</v>
      </c>
      <c r="O128" s="270"/>
      <c r="P128" s="16"/>
    </row>
    <row r="129" spans="1:16" ht="12.75">
      <c r="A129" s="16">
        <v>41213</v>
      </c>
      <c r="B129">
        <v>7.34</v>
      </c>
      <c r="C129" s="143">
        <f>_XLL.DIATRABALHOTOTAL(A129,$B$2,Feriado!$A$1:$L$62)-1</f>
        <v>295</v>
      </c>
      <c r="D129">
        <v>7.6</v>
      </c>
      <c r="E129" s="143">
        <f>_XLL.DIATRABALHOTOTAL(A129,$D$2,Feriado!$A$1:$L$62)-1</f>
        <v>416</v>
      </c>
      <c r="F129">
        <v>7.82</v>
      </c>
      <c r="G129" s="143">
        <f>_XLL.DIATRABALHOTOTAL(A129,$F$2,Feriado!$A$1:$L$62)-1</f>
        <v>547</v>
      </c>
      <c r="H129">
        <v>8.01</v>
      </c>
      <c r="I129" s="143">
        <f>_XLL.DIATRABALHOTOTAL(A129,$H$2,Feriado!$A$1:$L$62)-1</f>
        <v>670</v>
      </c>
      <c r="J129" s="235">
        <v>7.09</v>
      </c>
      <c r="K129" s="235">
        <v>7.14</v>
      </c>
      <c r="L129" s="235">
        <f t="shared" si="2"/>
        <v>1.0002718600282916</v>
      </c>
      <c r="M129" s="235">
        <f t="shared" si="3"/>
        <v>1.0390799476858519</v>
      </c>
      <c r="O129" s="270"/>
      <c r="P129" s="16"/>
    </row>
    <row r="130" spans="1:16" ht="12.75">
      <c r="A130" s="16">
        <v>41214</v>
      </c>
      <c r="B130">
        <v>7.34</v>
      </c>
      <c r="C130" s="143">
        <f>_XLL.DIATRABALHOTOTAL(A130,$B$2,Feriado!$A$1:$L$62)-1</f>
        <v>294</v>
      </c>
      <c r="D130">
        <v>7.59</v>
      </c>
      <c r="E130" s="143">
        <f>_XLL.DIATRABALHOTOTAL(A130,$D$2,Feriado!$A$1:$L$62)-1</f>
        <v>415</v>
      </c>
      <c r="F130">
        <v>7.83</v>
      </c>
      <c r="G130" s="143">
        <f>_XLL.DIATRABALHOTOTAL(A130,$F$2,Feriado!$A$1:$L$62)-1</f>
        <v>546</v>
      </c>
      <c r="H130">
        <v>8.04</v>
      </c>
      <c r="I130" s="143">
        <f>_XLL.DIATRABALHOTOTAL(A130,$H$2,Feriado!$A$1:$L$62)-1</f>
        <v>669</v>
      </c>
      <c r="J130" s="235">
        <v>7.11</v>
      </c>
      <c r="K130" s="235">
        <v>7.14</v>
      </c>
      <c r="L130" s="235">
        <f t="shared" si="2"/>
        <v>1.0002726012671825</v>
      </c>
      <c r="M130" s="235">
        <f t="shared" si="3"/>
        <v>1.039363202196295</v>
      </c>
      <c r="O130" s="270"/>
      <c r="P130" s="16"/>
    </row>
    <row r="131" spans="1:16" ht="12.75">
      <c r="A131" s="16">
        <v>41218</v>
      </c>
      <c r="B131">
        <v>7.32</v>
      </c>
      <c r="C131" s="143">
        <f>_XLL.DIATRABALHOTOTAL(A131,$B$2,Feriado!$A$1:$L$62)-1</f>
        <v>293</v>
      </c>
      <c r="D131">
        <v>7.58</v>
      </c>
      <c r="E131" s="143">
        <f>_XLL.DIATRABALHOTOTAL(A131,$D$2,Feriado!$A$1:$L$62)-1</f>
        <v>414</v>
      </c>
      <c r="F131">
        <v>7.8</v>
      </c>
      <c r="G131" s="143">
        <f>_XLL.DIATRABALHOTOTAL(A131,$F$2,Feriado!$A$1:$L$62)-1</f>
        <v>545</v>
      </c>
      <c r="H131">
        <v>8.02</v>
      </c>
      <c r="I131" s="143">
        <f>_XLL.DIATRABALHOTOTAL(A131,$H$2,Feriado!$A$1:$L$62)-1</f>
        <v>668</v>
      </c>
      <c r="J131" s="235">
        <v>7.12</v>
      </c>
      <c r="K131" s="235">
        <v>7.14</v>
      </c>
      <c r="L131" s="235">
        <f t="shared" si="2"/>
        <v>1.0002729718349328</v>
      </c>
      <c r="M131" s="235">
        <f t="shared" si="3"/>
        <v>1.0396469190767603</v>
      </c>
      <c r="O131" s="270"/>
      <c r="P131" s="16"/>
    </row>
    <row r="132" spans="1:16" ht="12.75">
      <c r="A132" s="16">
        <v>41219</v>
      </c>
      <c r="B132">
        <v>7.33</v>
      </c>
      <c r="C132" s="143">
        <f>_XLL.DIATRABALHOTOTAL(A132,$B$2,Feriado!$A$1:$L$62)-1</f>
        <v>292</v>
      </c>
      <c r="D132">
        <v>7.61</v>
      </c>
      <c r="E132" s="143">
        <f>_XLL.DIATRABALHOTOTAL(A132,$D$2,Feriado!$A$1:$L$62)-1</f>
        <v>413</v>
      </c>
      <c r="F132">
        <v>7.84</v>
      </c>
      <c r="G132" s="143">
        <f>_XLL.DIATRABALHOTOTAL(A132,$F$2,Feriado!$A$1:$L$62)-1</f>
        <v>544</v>
      </c>
      <c r="H132">
        <v>8.08</v>
      </c>
      <c r="I132" s="143">
        <f>_XLL.DIATRABALHOTOTAL(A132,$H$2,Feriado!$A$1:$L$62)-1</f>
        <v>667</v>
      </c>
      <c r="J132" s="235">
        <v>7.12</v>
      </c>
      <c r="K132" s="235">
        <v>7.14</v>
      </c>
      <c r="L132" s="235">
        <f aca="true" t="shared" si="4" ref="L132:L195">(1+J132/100)^(1/252)</f>
        <v>1.0002729718349328</v>
      </c>
      <c r="M132" s="235">
        <f t="shared" si="3"/>
        <v>1.0399307134039428</v>
      </c>
      <c r="O132" s="270"/>
      <c r="P132" s="16"/>
    </row>
    <row r="133" spans="1:16" ht="12.75">
      <c r="A133" s="16">
        <v>41220</v>
      </c>
      <c r="B133">
        <v>7.33</v>
      </c>
      <c r="C133" s="143">
        <f>_XLL.DIATRABALHOTOTAL(A133,$B$2,Feriado!$A$1:$L$62)-1</f>
        <v>291</v>
      </c>
      <c r="D133">
        <v>7.59</v>
      </c>
      <c r="E133" s="143">
        <f>_XLL.DIATRABALHOTOTAL(A133,$D$2,Feriado!$A$1:$L$62)-1</f>
        <v>412</v>
      </c>
      <c r="F133">
        <v>7.84</v>
      </c>
      <c r="G133" s="143">
        <f>_XLL.DIATRABALHOTOTAL(A133,$F$2,Feriado!$A$1:$L$62)-1</f>
        <v>543</v>
      </c>
      <c r="H133">
        <v>8.05</v>
      </c>
      <c r="I133" s="143">
        <f>_XLL.DIATRABALHOTOTAL(A133,$H$2,Feriado!$A$1:$L$62)-1</f>
        <v>666</v>
      </c>
      <c r="J133" s="235">
        <v>7.13</v>
      </c>
      <c r="K133" s="235">
        <v>7.14</v>
      </c>
      <c r="L133" s="235">
        <f t="shared" si="4"/>
        <v>1.0002733423682282</v>
      </c>
      <c r="M133" s="235">
        <f t="shared" si="3"/>
        <v>1.040214970527938</v>
      </c>
      <c r="O133" s="270"/>
      <c r="P133" s="16"/>
    </row>
    <row r="134" spans="1:16" ht="12.75">
      <c r="A134" s="16">
        <v>41221</v>
      </c>
      <c r="B134">
        <v>7.34</v>
      </c>
      <c r="C134" s="143">
        <f>_XLL.DIATRABALHOTOTAL(A134,$B$2,Feriado!$A$1:$L$62)-1</f>
        <v>290</v>
      </c>
      <c r="D134">
        <v>7.6</v>
      </c>
      <c r="E134" s="143">
        <f>_XLL.DIATRABALHOTOTAL(A134,$D$2,Feriado!$A$1:$L$62)-1</f>
        <v>411</v>
      </c>
      <c r="F134">
        <v>7.86</v>
      </c>
      <c r="G134" s="143">
        <f>_XLL.DIATRABALHOTOTAL(A134,$F$2,Feriado!$A$1:$L$62)-1</f>
        <v>542</v>
      </c>
      <c r="H134">
        <v>8.09</v>
      </c>
      <c r="I134" s="143">
        <f>_XLL.DIATRABALHOTOTAL(A134,$H$2,Feriado!$A$1:$L$62)-1</f>
        <v>665</v>
      </c>
      <c r="J134" s="235">
        <v>7.09</v>
      </c>
      <c r="K134" s="235">
        <v>7.14</v>
      </c>
      <c r="L134" s="235">
        <f t="shared" si="4"/>
        <v>1.0002718600282916</v>
      </c>
      <c r="M134" s="235">
        <f aca="true" t="shared" si="5" ref="M134:M197">L134*M133</f>
        <v>1.0404977633992551</v>
      </c>
      <c r="O134" s="270"/>
      <c r="P134" s="16"/>
    </row>
    <row r="135" spans="1:16" ht="12.75">
      <c r="A135" s="16">
        <v>41222</v>
      </c>
      <c r="B135">
        <v>7.35</v>
      </c>
      <c r="C135" s="143">
        <f>_XLL.DIATRABALHOTOTAL(A135,$B$2,Feriado!$A$1:$L$62)-1</f>
        <v>289</v>
      </c>
      <c r="D135">
        <v>7.62</v>
      </c>
      <c r="E135" s="143">
        <f>_XLL.DIATRABALHOTOTAL(A135,$D$2,Feriado!$A$1:$L$62)-1</f>
        <v>410</v>
      </c>
      <c r="F135">
        <v>7.89</v>
      </c>
      <c r="G135" s="143">
        <f>_XLL.DIATRABALHOTOTAL(A135,$F$2,Feriado!$A$1:$L$62)-1</f>
        <v>541</v>
      </c>
      <c r="H135">
        <v>8.12</v>
      </c>
      <c r="I135" s="143">
        <f>_XLL.DIATRABALHOTOTAL(A135,$H$2,Feriado!$A$1:$L$62)-1</f>
        <v>664</v>
      </c>
      <c r="J135" s="235">
        <v>7.09</v>
      </c>
      <c r="K135" s="235">
        <v>7.14</v>
      </c>
      <c r="L135" s="235">
        <f t="shared" si="4"/>
        <v>1.0002718600282916</v>
      </c>
      <c r="M135" s="235">
        <f t="shared" si="5"/>
        <v>1.0407806331506502</v>
      </c>
      <c r="O135" s="270"/>
      <c r="P135" s="16"/>
    </row>
    <row r="136" spans="1:16" ht="12.75">
      <c r="A136" s="16">
        <v>41225</v>
      </c>
      <c r="B136">
        <v>7.36</v>
      </c>
      <c r="C136" s="143">
        <f>_XLL.DIATRABALHOTOTAL(A136,$B$2,Feriado!$A$1:$L$62)-1</f>
        <v>288</v>
      </c>
      <c r="D136">
        <v>7.64</v>
      </c>
      <c r="E136" s="143">
        <f>_XLL.DIATRABALHOTOTAL(A136,$D$2,Feriado!$A$1:$L$62)-1</f>
        <v>409</v>
      </c>
      <c r="F136">
        <v>7.93</v>
      </c>
      <c r="G136" s="143">
        <f>_XLL.DIATRABALHOTOTAL(A136,$F$2,Feriado!$A$1:$L$62)-1</f>
        <v>540</v>
      </c>
      <c r="H136">
        <v>8.16</v>
      </c>
      <c r="I136" s="143">
        <f>_XLL.DIATRABALHOTOTAL(A136,$H$2,Feriado!$A$1:$L$62)-1</f>
        <v>663</v>
      </c>
      <c r="J136" s="235">
        <v>7.07</v>
      </c>
      <c r="K136" s="235">
        <v>7.14</v>
      </c>
      <c r="L136" s="235">
        <f t="shared" si="4"/>
        <v>1.0002711186515045</v>
      </c>
      <c r="M136" s="235">
        <f t="shared" si="5"/>
        <v>1.041062808192422</v>
      </c>
      <c r="O136" s="270"/>
      <c r="P136" s="16"/>
    </row>
    <row r="137" spans="1:16" ht="12.75">
      <c r="A137" s="16">
        <v>41226</v>
      </c>
      <c r="B137">
        <v>7.38</v>
      </c>
      <c r="C137" s="143">
        <f>_XLL.DIATRABALHOTOTAL(A137,$B$2,Feriado!$A$1:$L$62)-1</f>
        <v>287</v>
      </c>
      <c r="D137">
        <v>7.68</v>
      </c>
      <c r="E137" s="143">
        <f>_XLL.DIATRABALHOTOTAL(A137,$D$2,Feriado!$A$1:$L$62)-1</f>
        <v>408</v>
      </c>
      <c r="F137">
        <v>7.98</v>
      </c>
      <c r="G137" s="143">
        <f>_XLL.DIATRABALHOTOTAL(A137,$F$2,Feriado!$A$1:$L$62)-1</f>
        <v>539</v>
      </c>
      <c r="H137">
        <v>8.23</v>
      </c>
      <c r="I137" s="143">
        <f>_XLL.DIATRABALHOTOTAL(A137,$H$2,Feriado!$A$1:$L$62)-1</f>
        <v>662</v>
      </c>
      <c r="J137" s="235">
        <v>7.06</v>
      </c>
      <c r="K137" s="235">
        <v>7.14</v>
      </c>
      <c r="L137" s="235">
        <f t="shared" si="4"/>
        <v>1.0002707479113837</v>
      </c>
      <c r="M137" s="235">
        <f t="shared" si="5"/>
        <v>1.0413446737733594</v>
      </c>
      <c r="O137" s="270"/>
      <c r="P137" s="16"/>
    </row>
    <row r="138" spans="1:16" ht="12.75">
      <c r="A138" s="16">
        <v>41227</v>
      </c>
      <c r="B138">
        <v>7.41</v>
      </c>
      <c r="C138" s="143">
        <f>_XLL.DIATRABALHOTOTAL(A138,$B$2,Feriado!$A$1:$L$62)-1</f>
        <v>286</v>
      </c>
      <c r="D138">
        <v>7.7</v>
      </c>
      <c r="E138" s="143">
        <f>_XLL.DIATRABALHOTOTAL(A138,$D$2,Feriado!$A$1:$L$62)-1</f>
        <v>407</v>
      </c>
      <c r="F138">
        <v>8.05</v>
      </c>
      <c r="G138" s="143">
        <f>_XLL.DIATRABALHOTOTAL(A138,$F$2,Feriado!$A$1:$L$62)-1</f>
        <v>538</v>
      </c>
      <c r="H138">
        <v>8.3</v>
      </c>
      <c r="I138" s="143">
        <f>_XLL.DIATRABALHOTOTAL(A138,$H$2,Feriado!$A$1:$L$62)-1</f>
        <v>661</v>
      </c>
      <c r="J138" s="235">
        <v>7.06</v>
      </c>
      <c r="K138" s="235">
        <v>7.14</v>
      </c>
      <c r="L138" s="235">
        <f t="shared" si="4"/>
        <v>1.0002707479113837</v>
      </c>
      <c r="M138" s="235">
        <f t="shared" si="5"/>
        <v>1.041626615668814</v>
      </c>
      <c r="O138" s="270"/>
      <c r="P138" s="16"/>
    </row>
    <row r="139" spans="1:16" ht="12.75">
      <c r="A139" s="16">
        <v>41229</v>
      </c>
      <c r="B139">
        <v>7.38</v>
      </c>
      <c r="C139" s="143">
        <f>_XLL.DIATRABALHOTOTAL(A139,$B$2,Feriado!$A$1:$L$62)-1</f>
        <v>285</v>
      </c>
      <c r="D139">
        <v>7.66</v>
      </c>
      <c r="E139" s="143">
        <f>_XLL.DIATRABALHOTOTAL(A139,$D$2,Feriado!$A$1:$L$62)-1</f>
        <v>406</v>
      </c>
      <c r="F139">
        <v>8</v>
      </c>
      <c r="G139" s="143">
        <f>_XLL.DIATRABALHOTOTAL(A139,$F$2,Feriado!$A$1:$L$62)-1</f>
        <v>537</v>
      </c>
      <c r="H139">
        <v>8.24</v>
      </c>
      <c r="I139" s="143">
        <f>_XLL.DIATRABALHOTOTAL(A139,$H$2,Feriado!$A$1:$L$62)-1</f>
        <v>660</v>
      </c>
      <c r="J139" s="235">
        <v>7.05</v>
      </c>
      <c r="K139" s="235">
        <v>7.14</v>
      </c>
      <c r="L139" s="235">
        <f t="shared" si="4"/>
        <v>1.0002703771367696</v>
      </c>
      <c r="M139" s="235">
        <f t="shared" si="5"/>
        <v>1.0419082476907415</v>
      </c>
      <c r="O139" s="270"/>
      <c r="P139" s="16"/>
    </row>
    <row r="140" spans="1:16" ht="12.75">
      <c r="A140" s="16">
        <v>41232</v>
      </c>
      <c r="B140">
        <v>7.34</v>
      </c>
      <c r="C140" s="143">
        <f>_XLL.DIATRABALHOTOTAL(A140,$B$2,Feriado!$A$1:$L$62)-1</f>
        <v>284</v>
      </c>
      <c r="D140">
        <v>7.63</v>
      </c>
      <c r="E140" s="143">
        <f>_XLL.DIATRABALHOTOTAL(A140,$D$2,Feriado!$A$1:$L$62)-1</f>
        <v>405</v>
      </c>
      <c r="F140">
        <v>7.95</v>
      </c>
      <c r="G140" s="143">
        <f>_XLL.DIATRABALHOTOTAL(A140,$F$2,Feriado!$A$1:$L$62)-1</f>
        <v>536</v>
      </c>
      <c r="H140">
        <v>8.22</v>
      </c>
      <c r="I140" s="143">
        <f>_XLL.DIATRABALHOTOTAL(A140,$H$2,Feriado!$A$1:$L$62)-1</f>
        <v>659</v>
      </c>
      <c r="J140" s="235">
        <v>7.03</v>
      </c>
      <c r="K140" s="235">
        <v>7.14</v>
      </c>
      <c r="L140" s="235">
        <f t="shared" si="4"/>
        <v>1.0002696354840355</v>
      </c>
      <c r="M140" s="235">
        <f t="shared" si="5"/>
        <v>1.0421891831254282</v>
      </c>
      <c r="O140" s="270"/>
      <c r="P140" s="16"/>
    </row>
    <row r="141" spans="1:16" ht="12.75">
      <c r="A141" s="16">
        <v>41234</v>
      </c>
      <c r="B141">
        <v>7.36</v>
      </c>
      <c r="C141" s="143">
        <f>_XLL.DIATRABALHOTOTAL(A141,$B$2,Feriado!$A$1:$L$62)-1</f>
        <v>282</v>
      </c>
      <c r="D141">
        <v>7.67</v>
      </c>
      <c r="E141" s="143">
        <f>_XLL.DIATRABALHOTOTAL(A141,$D$2,Feriado!$A$1:$L$62)-1</f>
        <v>403</v>
      </c>
      <c r="F141">
        <v>8.04</v>
      </c>
      <c r="G141" s="143">
        <f>_XLL.DIATRABALHOTOTAL(A141,$F$2,Feriado!$A$1:$L$62)-1</f>
        <v>534</v>
      </c>
      <c r="H141">
        <v>8.3</v>
      </c>
      <c r="I141" s="143">
        <f>_XLL.DIATRABALHOTOTAL(A141,$H$2,Feriado!$A$1:$L$62)-1</f>
        <v>657</v>
      </c>
      <c r="J141" s="235">
        <v>6.99</v>
      </c>
      <c r="K141" s="235">
        <v>7.14</v>
      </c>
      <c r="L141" s="235">
        <f t="shared" si="4"/>
        <v>1.0002681517643632</v>
      </c>
      <c r="M141" s="235">
        <f t="shared" si="5"/>
        <v>1.0424686479936836</v>
      </c>
      <c r="O141" s="270"/>
      <c r="P141" s="16"/>
    </row>
    <row r="142" spans="1:16" ht="12.75">
      <c r="A142" s="16">
        <v>41235</v>
      </c>
      <c r="B142">
        <v>7.35</v>
      </c>
      <c r="C142" s="143">
        <f>_XLL.DIATRABALHOTOTAL(A142,$B$2,Feriado!$A$1:$L$62)-1</f>
        <v>281</v>
      </c>
      <c r="D142">
        <v>7.66</v>
      </c>
      <c r="E142" s="143">
        <f>_XLL.DIATRABALHOTOTAL(A142,$D$2,Feriado!$A$1:$L$62)-1</f>
        <v>402</v>
      </c>
      <c r="F142">
        <v>8.03</v>
      </c>
      <c r="G142" s="143">
        <f>_XLL.DIATRABALHOTOTAL(A142,$F$2,Feriado!$A$1:$L$62)-1</f>
        <v>533</v>
      </c>
      <c r="H142">
        <v>8.3</v>
      </c>
      <c r="I142" s="143">
        <f>_XLL.DIATRABALHOTOTAL(A142,$H$2,Feriado!$A$1:$L$62)-1</f>
        <v>656</v>
      </c>
      <c r="J142" s="235">
        <v>7.09</v>
      </c>
      <c r="K142" s="235">
        <v>7.14</v>
      </c>
      <c r="L142" s="235">
        <f t="shared" si="4"/>
        <v>1.0002718600282916</v>
      </c>
      <c r="M142" s="235">
        <f t="shared" si="5"/>
        <v>1.0427520535498203</v>
      </c>
      <c r="O142" s="270"/>
      <c r="P142" s="16"/>
    </row>
    <row r="143" spans="1:16" ht="12.75">
      <c r="A143" s="16">
        <v>41236</v>
      </c>
      <c r="B143">
        <v>7.33</v>
      </c>
      <c r="C143" s="143">
        <f>_XLL.DIATRABALHOTOTAL(A143,$B$2,Feriado!$A$1:$L$62)-1</f>
        <v>280</v>
      </c>
      <c r="D143">
        <v>7.62</v>
      </c>
      <c r="E143" s="143">
        <f>_XLL.DIATRABALHOTOTAL(A143,$D$2,Feriado!$A$1:$L$62)-1</f>
        <v>401</v>
      </c>
      <c r="F143">
        <v>7.97</v>
      </c>
      <c r="G143" s="143">
        <f>_XLL.DIATRABALHOTOTAL(A143,$F$2,Feriado!$A$1:$L$62)-1</f>
        <v>532</v>
      </c>
      <c r="H143">
        <v>8.24</v>
      </c>
      <c r="I143" s="143">
        <f>_XLL.DIATRABALHOTOTAL(A143,$H$2,Feriado!$A$1:$L$62)-1</f>
        <v>655</v>
      </c>
      <c r="J143" s="235">
        <v>7.12</v>
      </c>
      <c r="K143" s="235">
        <v>7.14</v>
      </c>
      <c r="L143" s="235">
        <f t="shared" si="4"/>
        <v>1.0002729718349328</v>
      </c>
      <c r="M143" s="235">
        <f t="shared" si="5"/>
        <v>1.0430366954912578</v>
      </c>
      <c r="O143" s="270"/>
      <c r="P143" s="16"/>
    </row>
    <row r="144" spans="1:16" ht="12.75">
      <c r="A144" s="16">
        <v>41239</v>
      </c>
      <c r="B144">
        <v>7.33</v>
      </c>
      <c r="C144" s="143">
        <f>_XLL.DIATRABALHOTOTAL(A144,$B$2,Feriado!$A$1:$L$62)-1</f>
        <v>279</v>
      </c>
      <c r="D144">
        <v>7.59</v>
      </c>
      <c r="E144" s="143">
        <f>_XLL.DIATRABALHOTOTAL(A144,$D$2,Feriado!$A$1:$L$62)-1</f>
        <v>400</v>
      </c>
      <c r="F144">
        <v>7.93</v>
      </c>
      <c r="G144" s="143">
        <f>_XLL.DIATRABALHOTOTAL(A144,$F$2,Feriado!$A$1:$L$62)-1</f>
        <v>531</v>
      </c>
      <c r="H144">
        <v>8.2</v>
      </c>
      <c r="I144" s="143">
        <f>_XLL.DIATRABALHOTOTAL(A144,$H$2,Feriado!$A$1:$L$62)-1</f>
        <v>654</v>
      </c>
      <c r="J144" s="235">
        <v>7.13</v>
      </c>
      <c r="K144" s="235">
        <v>7.14</v>
      </c>
      <c r="L144" s="235">
        <f t="shared" si="4"/>
        <v>1.0002733423682282</v>
      </c>
      <c r="M144" s="235">
        <f t="shared" si="5"/>
        <v>1.0433218016117523</v>
      </c>
      <c r="O144" s="270"/>
      <c r="P144" s="16"/>
    </row>
    <row r="145" spans="1:16" ht="12.75">
      <c r="A145" s="16">
        <v>41240</v>
      </c>
      <c r="B145">
        <v>7.28</v>
      </c>
      <c r="C145" s="143">
        <f>_XLL.DIATRABALHOTOTAL(A145,$B$2,Feriado!$A$1:$L$62)-1</f>
        <v>278</v>
      </c>
      <c r="D145">
        <v>7.54</v>
      </c>
      <c r="E145" s="143">
        <f>_XLL.DIATRABALHOTOTAL(A145,$D$2,Feriado!$A$1:$L$62)-1</f>
        <v>399</v>
      </c>
      <c r="F145">
        <v>7.87</v>
      </c>
      <c r="G145" s="143">
        <f>_XLL.DIATRABALHOTOTAL(A145,$F$2,Feriado!$A$1:$L$62)-1</f>
        <v>530</v>
      </c>
      <c r="H145">
        <v>8.12</v>
      </c>
      <c r="I145" s="143">
        <f>_XLL.DIATRABALHOTOTAL(A145,$H$2,Feriado!$A$1:$L$62)-1</f>
        <v>653</v>
      </c>
      <c r="J145" s="235">
        <v>7.12</v>
      </c>
      <c r="K145" s="235">
        <v>7.14</v>
      </c>
      <c r="L145" s="235">
        <f t="shared" si="4"/>
        <v>1.0002729718349328</v>
      </c>
      <c r="M145" s="235">
        <f t="shared" si="5"/>
        <v>1.0436065990783636</v>
      </c>
      <c r="O145" s="270"/>
      <c r="P145" s="16"/>
    </row>
    <row r="146" spans="1:16" ht="12.75">
      <c r="A146" s="16">
        <v>41241</v>
      </c>
      <c r="B146">
        <v>7.29</v>
      </c>
      <c r="C146" s="143">
        <f>_XLL.DIATRABALHOTOTAL(A146,$B$2,Feriado!$A$1:$L$62)-1</f>
        <v>277</v>
      </c>
      <c r="D146">
        <v>7.54</v>
      </c>
      <c r="E146" s="143">
        <f>_XLL.DIATRABALHOTOTAL(A146,$D$2,Feriado!$A$1:$L$62)-1</f>
        <v>398</v>
      </c>
      <c r="F146">
        <v>7.88</v>
      </c>
      <c r="G146" s="143">
        <f>_XLL.DIATRABALHOTOTAL(A146,$F$2,Feriado!$A$1:$L$62)-1</f>
        <v>529</v>
      </c>
      <c r="H146">
        <v>8.14</v>
      </c>
      <c r="I146" s="143">
        <f>_XLL.DIATRABALHOTOTAL(A146,$H$2,Feriado!$A$1:$L$62)-1</f>
        <v>652</v>
      </c>
      <c r="J146" s="235">
        <v>7.11</v>
      </c>
      <c r="K146" s="235">
        <v>7.14</v>
      </c>
      <c r="L146" s="235">
        <f t="shared" si="4"/>
        <v>1.0002726012671825</v>
      </c>
      <c r="M146" s="235">
        <f t="shared" si="5"/>
        <v>1.0438910875597125</v>
      </c>
      <c r="O146" s="270"/>
      <c r="P146" s="16"/>
    </row>
    <row r="147" spans="1:16" ht="12.75">
      <c r="A147" s="16">
        <v>41242</v>
      </c>
      <c r="B147">
        <v>7.31</v>
      </c>
      <c r="C147" s="143">
        <f>_XLL.DIATRABALHOTOTAL(A147,$B$2,Feriado!$A$1:$L$62)-1</f>
        <v>276</v>
      </c>
      <c r="D147">
        <v>7.5600000000000005</v>
      </c>
      <c r="E147" s="143">
        <f>_XLL.DIATRABALHOTOTAL(A147,$D$2,Feriado!$A$1:$L$62)-1</f>
        <v>397</v>
      </c>
      <c r="F147">
        <v>7.91</v>
      </c>
      <c r="G147" s="143">
        <f>_XLL.DIATRABALHOTOTAL(A147,$F$2,Feriado!$A$1:$L$62)-1</f>
        <v>528</v>
      </c>
      <c r="H147">
        <v>8.18</v>
      </c>
      <c r="I147" s="143">
        <f>_XLL.DIATRABALHOTOTAL(A147,$H$2,Feriado!$A$1:$L$62)-1</f>
        <v>651</v>
      </c>
      <c r="J147" s="235">
        <v>7.07</v>
      </c>
      <c r="K147" s="235">
        <v>7.14</v>
      </c>
      <c r="L147" s="235">
        <f t="shared" si="4"/>
        <v>1.0002711186515045</v>
      </c>
      <c r="M147" s="235">
        <f t="shared" si="5"/>
        <v>1.0441741059036893</v>
      </c>
      <c r="O147" s="270"/>
      <c r="P147" s="16"/>
    </row>
    <row r="148" spans="1:16" ht="12.75">
      <c r="A148" s="16">
        <v>41243</v>
      </c>
      <c r="B148">
        <v>7.21</v>
      </c>
      <c r="C148" s="143">
        <f>_XLL.DIATRABALHOTOTAL(A148,$B$2,Feriado!$A$1:$L$62)-1</f>
        <v>275</v>
      </c>
      <c r="D148">
        <v>7.45</v>
      </c>
      <c r="E148" s="143">
        <f>_XLL.DIATRABALHOTOTAL(A148,$D$2,Feriado!$A$1:$L$62)-1</f>
        <v>396</v>
      </c>
      <c r="F148">
        <v>7.83</v>
      </c>
      <c r="G148" s="143">
        <f>_XLL.DIATRABALHOTOTAL(A148,$F$2,Feriado!$A$1:$L$62)-1</f>
        <v>527</v>
      </c>
      <c r="H148">
        <v>8.11</v>
      </c>
      <c r="I148" s="143">
        <f>_XLL.DIATRABALHOTOTAL(A148,$H$2,Feriado!$A$1:$L$62)-1</f>
        <v>650</v>
      </c>
      <c r="J148" s="235">
        <v>7.06</v>
      </c>
      <c r="K148" s="235">
        <v>7.14</v>
      </c>
      <c r="L148" s="235">
        <f t="shared" si="4"/>
        <v>1.0002707479113837</v>
      </c>
      <c r="M148" s="235">
        <f t="shared" si="5"/>
        <v>1.0444568138619836</v>
      </c>
      <c r="O148" s="270"/>
      <c r="P148" s="16"/>
    </row>
    <row r="149" spans="1:16" ht="12.75">
      <c r="A149" s="16">
        <v>41246</v>
      </c>
      <c r="B149">
        <v>7.17</v>
      </c>
      <c r="C149" s="143">
        <f>_XLL.DIATRABALHOTOTAL(A149,$B$2,Feriado!$A$1:$L$62)-1</f>
        <v>274</v>
      </c>
      <c r="D149">
        <v>7.4</v>
      </c>
      <c r="E149" s="143">
        <f>_XLL.DIATRABALHOTOTAL(A149,$D$2,Feriado!$A$1:$L$62)-1</f>
        <v>395</v>
      </c>
      <c r="F149">
        <v>7.76</v>
      </c>
      <c r="G149" s="143">
        <f>_XLL.DIATRABALHOTOTAL(A149,$F$2,Feriado!$A$1:$L$62)-1</f>
        <v>526</v>
      </c>
      <c r="H149">
        <v>8.06</v>
      </c>
      <c r="I149" s="143">
        <f>_XLL.DIATRABALHOTOTAL(A149,$H$2,Feriado!$A$1:$L$62)-1</f>
        <v>649</v>
      </c>
      <c r="J149" s="235">
        <v>7.07</v>
      </c>
      <c r="K149" s="235">
        <v>7.14</v>
      </c>
      <c r="L149" s="235">
        <f t="shared" si="4"/>
        <v>1.0002711186515045</v>
      </c>
      <c r="M149" s="235">
        <f t="shared" si="5"/>
        <v>1.0447399855849127</v>
      </c>
      <c r="O149" s="270"/>
      <c r="P149" s="16"/>
    </row>
    <row r="150" spans="1:16" ht="12.75">
      <c r="A150" s="16">
        <v>41247</v>
      </c>
      <c r="B150">
        <v>7.09</v>
      </c>
      <c r="C150" s="143">
        <f>_XLL.DIATRABALHOTOTAL(A150,$B$2,Feriado!$A$1:$L$62)-1</f>
        <v>273</v>
      </c>
      <c r="D150">
        <v>7.27</v>
      </c>
      <c r="E150" s="143">
        <f>_XLL.DIATRABALHOTOTAL(A150,$D$2,Feriado!$A$1:$L$62)-1</f>
        <v>394</v>
      </c>
      <c r="F150">
        <v>7.6</v>
      </c>
      <c r="G150" s="143">
        <f>_XLL.DIATRABALHOTOTAL(A150,$F$2,Feriado!$A$1:$L$62)-1</f>
        <v>525</v>
      </c>
      <c r="H150">
        <v>7.86</v>
      </c>
      <c r="I150" s="143">
        <f>_XLL.DIATRABALHOTOTAL(A150,$H$2,Feriado!$A$1:$L$62)-1</f>
        <v>648</v>
      </c>
      <c r="J150" s="235">
        <v>7.07</v>
      </c>
      <c r="K150" s="235">
        <v>7.14</v>
      </c>
      <c r="L150" s="235">
        <f t="shared" si="4"/>
        <v>1.0002711186515045</v>
      </c>
      <c r="M150" s="235">
        <f t="shared" si="5"/>
        <v>1.0450232340809773</v>
      </c>
      <c r="O150" s="270"/>
      <c r="P150" s="16"/>
    </row>
    <row r="151" spans="1:16" ht="12.75">
      <c r="A151" s="16">
        <v>41248</v>
      </c>
      <c r="B151">
        <v>7.1</v>
      </c>
      <c r="C151" s="143">
        <f>_XLL.DIATRABALHOTOTAL(A151,$B$2,Feriado!$A$1:$L$62)-1</f>
        <v>272</v>
      </c>
      <c r="D151">
        <v>7.27</v>
      </c>
      <c r="E151" s="143">
        <f>_XLL.DIATRABALHOTOTAL(A151,$D$2,Feriado!$A$1:$L$62)-1</f>
        <v>393</v>
      </c>
      <c r="F151">
        <v>7.59</v>
      </c>
      <c r="G151" s="143">
        <f>_XLL.DIATRABALHOTOTAL(A151,$F$2,Feriado!$A$1:$L$62)-1</f>
        <v>524</v>
      </c>
      <c r="H151">
        <v>7.87</v>
      </c>
      <c r="I151" s="143">
        <f>_XLL.DIATRABALHOTOTAL(A151,$H$2,Feriado!$A$1:$L$62)-1</f>
        <v>647</v>
      </c>
      <c r="J151" s="235">
        <v>7.06</v>
      </c>
      <c r="K151" s="235">
        <v>7.14</v>
      </c>
      <c r="L151" s="235">
        <f t="shared" si="4"/>
        <v>1.0002707479113837</v>
      </c>
      <c r="M151" s="235">
        <f t="shared" si="5"/>
        <v>1.0453061719389523</v>
      </c>
      <c r="O151" s="270"/>
      <c r="P151" s="16"/>
    </row>
    <row r="152" spans="1:16" ht="12.75">
      <c r="A152" s="16">
        <v>41249</v>
      </c>
      <c r="B152">
        <v>6.87</v>
      </c>
      <c r="C152" s="143">
        <f>_XLL.DIATRABALHOTOTAL(A152,$B$2,Feriado!$A$1:$L$62)-1</f>
        <v>271</v>
      </c>
      <c r="D152">
        <v>7.02</v>
      </c>
      <c r="E152" s="143">
        <f>_XLL.DIATRABALHOTOTAL(A152,$D$2,Feriado!$A$1:$L$62)-1</f>
        <v>392</v>
      </c>
      <c r="F152">
        <v>7.38</v>
      </c>
      <c r="G152" s="143">
        <f>_XLL.DIATRABALHOTOTAL(A152,$F$2,Feriado!$A$1:$L$62)-1</f>
        <v>523</v>
      </c>
      <c r="H152">
        <v>7.68</v>
      </c>
      <c r="I152" s="143">
        <f>_XLL.DIATRABALHOTOTAL(A152,$H$2,Feriado!$A$1:$L$62)-1</f>
        <v>646</v>
      </c>
      <c r="J152" s="235">
        <v>7.05</v>
      </c>
      <c r="K152" s="235">
        <v>7.14</v>
      </c>
      <c r="L152" s="235">
        <f t="shared" si="4"/>
        <v>1.0002703771367696</v>
      </c>
      <c r="M152" s="235">
        <f t="shared" si="5"/>
        <v>1.0455887988287687</v>
      </c>
      <c r="O152" s="270"/>
      <c r="P152" s="16"/>
    </row>
    <row r="153" spans="1:16" ht="12.75">
      <c r="A153" s="16">
        <v>41250</v>
      </c>
      <c r="B153">
        <v>7</v>
      </c>
      <c r="C153" s="143">
        <f>_XLL.DIATRABALHOTOTAL(A153,$B$2,Feriado!$A$1:$L$62)-1</f>
        <v>270</v>
      </c>
      <c r="D153">
        <v>7.15</v>
      </c>
      <c r="E153" s="143">
        <f>_XLL.DIATRABALHOTOTAL(A153,$D$2,Feriado!$A$1:$L$62)-1</f>
        <v>391</v>
      </c>
      <c r="F153">
        <v>7.52</v>
      </c>
      <c r="G153" s="143">
        <f>_XLL.DIATRABALHOTOTAL(A153,$F$2,Feriado!$A$1:$L$62)-1</f>
        <v>522</v>
      </c>
      <c r="H153">
        <v>7.79</v>
      </c>
      <c r="I153" s="143">
        <f>_XLL.DIATRABALHOTOTAL(A153,$H$2,Feriado!$A$1:$L$62)-1</f>
        <v>645</v>
      </c>
      <c r="J153" s="235">
        <v>7.04</v>
      </c>
      <c r="K153" s="235">
        <v>7.14</v>
      </c>
      <c r="L153" s="235">
        <f t="shared" si="4"/>
        <v>1.0002700063276555</v>
      </c>
      <c r="M153" s="235">
        <f t="shared" si="5"/>
        <v>1.0458711144205781</v>
      </c>
      <c r="O153" s="270"/>
      <c r="P153" s="16"/>
    </row>
    <row r="154" spans="1:16" ht="12.75">
      <c r="A154" s="16">
        <v>41253</v>
      </c>
      <c r="B154">
        <v>7.05</v>
      </c>
      <c r="C154" s="143">
        <f>_XLL.DIATRABALHOTOTAL(A154,$B$2,Feriado!$A$1:$L$62)-1</f>
        <v>269</v>
      </c>
      <c r="D154">
        <v>7.22</v>
      </c>
      <c r="E154" s="143">
        <f>_XLL.DIATRABALHOTOTAL(A154,$D$2,Feriado!$A$1:$L$62)-1</f>
        <v>390</v>
      </c>
      <c r="F154">
        <v>7.59</v>
      </c>
      <c r="G154" s="143">
        <f>_XLL.DIATRABALHOTOTAL(A154,$F$2,Feriado!$A$1:$L$62)-1</f>
        <v>521</v>
      </c>
      <c r="H154">
        <v>7.87</v>
      </c>
      <c r="I154" s="143">
        <f>_XLL.DIATRABALHOTOTAL(A154,$H$2,Feriado!$A$1:$L$62)-1</f>
        <v>644</v>
      </c>
      <c r="J154" s="235">
        <v>7.01</v>
      </c>
      <c r="K154" s="235">
        <v>7.14</v>
      </c>
      <c r="L154" s="235">
        <f t="shared" si="4"/>
        <v>1.0002688936932504</v>
      </c>
      <c r="M154" s="235">
        <f t="shared" si="5"/>
        <v>1.0461523425671986</v>
      </c>
      <c r="O154" s="270"/>
      <c r="P154" s="16"/>
    </row>
    <row r="155" spans="1:16" ht="12.75">
      <c r="A155" s="16">
        <v>41254</v>
      </c>
      <c r="B155">
        <v>7.1</v>
      </c>
      <c r="C155" s="143">
        <f>_XLL.DIATRABALHOTOTAL(A155,$B$2,Feriado!$A$1:$L$62)-1</f>
        <v>268</v>
      </c>
      <c r="D155">
        <v>7.28</v>
      </c>
      <c r="E155" s="143">
        <f>_XLL.DIATRABALHOTOTAL(A155,$D$2,Feriado!$A$1:$L$62)-1</f>
        <v>389</v>
      </c>
      <c r="F155">
        <v>7.65</v>
      </c>
      <c r="G155" s="143">
        <f>_XLL.DIATRABALHOTOTAL(A155,$F$2,Feriado!$A$1:$L$62)-1</f>
        <v>520</v>
      </c>
      <c r="H155">
        <v>7.9399999999999995</v>
      </c>
      <c r="I155" s="143">
        <f>_XLL.DIATRABALHOTOTAL(A155,$H$2,Feriado!$A$1:$L$62)-1</f>
        <v>643</v>
      </c>
      <c r="J155" s="235">
        <v>6.97</v>
      </c>
      <c r="K155" s="235">
        <v>7.13</v>
      </c>
      <c r="L155" s="235">
        <f t="shared" si="4"/>
        <v>1.0002674096973225</v>
      </c>
      <c r="M155" s="235">
        <f t="shared" si="5"/>
        <v>1.0464320938484777</v>
      </c>
      <c r="O155" s="270"/>
      <c r="P155" s="16"/>
    </row>
    <row r="156" spans="1:16" ht="12.75">
      <c r="A156" s="16">
        <v>41255</v>
      </c>
      <c r="B156">
        <v>7.08</v>
      </c>
      <c r="C156" s="143">
        <f>_XLL.DIATRABALHOTOTAL(A156,$B$2,Feriado!$A$1:$L$62)-1</f>
        <v>267</v>
      </c>
      <c r="D156">
        <v>7.25</v>
      </c>
      <c r="E156" s="143">
        <f>_XLL.DIATRABALHOTOTAL(A156,$D$2,Feriado!$A$1:$L$62)-1</f>
        <v>388</v>
      </c>
      <c r="F156">
        <v>7.6</v>
      </c>
      <c r="G156" s="143">
        <f>_XLL.DIATRABALHOTOTAL(A156,$F$2,Feriado!$A$1:$L$62)-1</f>
        <v>519</v>
      </c>
      <c r="H156">
        <v>7.86</v>
      </c>
      <c r="I156" s="143">
        <f>_XLL.DIATRABALHOTOTAL(A156,$H$2,Feriado!$A$1:$L$62)-1</f>
        <v>642</v>
      </c>
      <c r="J156" s="235">
        <v>6.97</v>
      </c>
      <c r="K156" s="235">
        <v>7.13</v>
      </c>
      <c r="L156" s="235">
        <f t="shared" si="4"/>
        <v>1.0002674096973225</v>
      </c>
      <c r="M156" s="235">
        <f t="shared" si="5"/>
        <v>1.0467119199379622</v>
      </c>
      <c r="O156" s="270"/>
      <c r="P156" s="16"/>
    </row>
    <row r="157" spans="1:16" ht="12.75">
      <c r="A157" s="16">
        <v>41256</v>
      </c>
      <c r="B157">
        <v>7.06</v>
      </c>
      <c r="C157" s="143">
        <f>_XLL.DIATRABALHOTOTAL(A157,$B$2,Feriado!$A$1:$L$62)-1</f>
        <v>266</v>
      </c>
      <c r="D157">
        <v>7.21</v>
      </c>
      <c r="E157" s="143">
        <f>_XLL.DIATRABALHOTOTAL(A157,$D$2,Feriado!$A$1:$L$62)-1</f>
        <v>387</v>
      </c>
      <c r="F157">
        <v>7.5600000000000005</v>
      </c>
      <c r="G157" s="143">
        <f>_XLL.DIATRABALHOTOTAL(A157,$F$2,Feriado!$A$1:$L$62)-1</f>
        <v>518</v>
      </c>
      <c r="H157">
        <v>7.83</v>
      </c>
      <c r="I157" s="143">
        <f>_XLL.DIATRABALHOTOTAL(A157,$H$2,Feriado!$A$1:$L$62)-1</f>
        <v>641</v>
      </c>
      <c r="J157" s="235">
        <v>6.95</v>
      </c>
      <c r="K157" s="235">
        <v>7.13</v>
      </c>
      <c r="L157" s="235">
        <f t="shared" si="4"/>
        <v>1.0002666674920762</v>
      </c>
      <c r="M157" s="235">
        <f t="shared" si="5"/>
        <v>1.0469910439805783</v>
      </c>
      <c r="O157" s="270"/>
      <c r="P157" s="16"/>
    </row>
    <row r="158" spans="1:16" ht="12.75">
      <c r="A158" s="16">
        <v>41257</v>
      </c>
      <c r="B158">
        <v>7.09</v>
      </c>
      <c r="C158" s="143">
        <f>_XLL.DIATRABALHOTOTAL(A158,$B$2,Feriado!$A$1:$L$62)-1</f>
        <v>265</v>
      </c>
      <c r="D158">
        <v>7.25</v>
      </c>
      <c r="E158" s="143">
        <f>_XLL.DIATRABALHOTOTAL(A158,$D$2,Feriado!$A$1:$L$62)-1</f>
        <v>386</v>
      </c>
      <c r="F158">
        <v>7.63</v>
      </c>
      <c r="G158" s="143">
        <f>_XLL.DIATRABALHOTOTAL(A158,$F$2,Feriado!$A$1:$L$62)-1</f>
        <v>517</v>
      </c>
      <c r="H158">
        <v>7.88</v>
      </c>
      <c r="I158" s="143">
        <f>_XLL.DIATRABALHOTOTAL(A158,$H$2,Feriado!$A$1:$L$62)-1</f>
        <v>640</v>
      </c>
      <c r="J158" s="235">
        <v>6.9</v>
      </c>
      <c r="K158" s="235">
        <v>7.12</v>
      </c>
      <c r="L158" s="235">
        <f t="shared" si="4"/>
        <v>1.0002648113739738</v>
      </c>
      <c r="M158" s="235">
        <f t="shared" si="5"/>
        <v>1.047268299117473</v>
      </c>
      <c r="O158" s="270"/>
      <c r="P158" s="16"/>
    </row>
    <row r="159" spans="1:16" ht="12.75">
      <c r="A159" s="16">
        <v>41260</v>
      </c>
      <c r="B159">
        <v>7.08</v>
      </c>
      <c r="C159" s="143">
        <f>_XLL.DIATRABALHOTOTAL(A159,$B$2,Feriado!$A$1:$L$62)-1</f>
        <v>264</v>
      </c>
      <c r="D159">
        <v>7.25</v>
      </c>
      <c r="E159" s="143">
        <f>_XLL.DIATRABALHOTOTAL(A159,$D$2,Feriado!$A$1:$L$62)-1</f>
        <v>385</v>
      </c>
      <c r="F159">
        <v>7.62</v>
      </c>
      <c r="G159" s="143">
        <f>_XLL.DIATRABALHOTOTAL(A159,$F$2,Feriado!$A$1:$L$62)-1</f>
        <v>516</v>
      </c>
      <c r="H159">
        <v>7.89</v>
      </c>
      <c r="I159" s="143">
        <f>_XLL.DIATRABALHOTOTAL(A159,$H$2,Feriado!$A$1:$L$62)-1</f>
        <v>639</v>
      </c>
      <c r="J159" s="235">
        <v>6.89</v>
      </c>
      <c r="K159" s="235">
        <v>7.12</v>
      </c>
      <c r="L159" s="235">
        <f t="shared" si="4"/>
        <v>1.0002644400465897</v>
      </c>
      <c r="M159" s="235">
        <f t="shared" si="5"/>
        <v>1.0475452387952835</v>
      </c>
      <c r="O159" s="270"/>
      <c r="P159" s="16"/>
    </row>
    <row r="160" spans="1:16" ht="12.75">
      <c r="A160" s="16">
        <v>41261</v>
      </c>
      <c r="B160">
        <v>7.08</v>
      </c>
      <c r="C160" s="143">
        <f>_XLL.DIATRABALHOTOTAL(A160,$B$2,Feriado!$A$1:$L$62)-1</f>
        <v>263</v>
      </c>
      <c r="D160">
        <v>7.27</v>
      </c>
      <c r="E160" s="143">
        <f>_XLL.DIATRABALHOTOTAL(A160,$D$2,Feriado!$A$1:$L$62)-1</f>
        <v>384</v>
      </c>
      <c r="F160">
        <v>7.65</v>
      </c>
      <c r="G160" s="143">
        <f>_XLL.DIATRABALHOTOTAL(A160,$F$2,Feriado!$A$1:$L$62)-1</f>
        <v>515</v>
      </c>
      <c r="H160">
        <v>7.92</v>
      </c>
      <c r="I160" s="143">
        <f>_XLL.DIATRABALHOTOTAL(A160,$H$2,Feriado!$A$1:$L$62)-1</f>
        <v>638</v>
      </c>
      <c r="J160" s="235">
        <v>6.87</v>
      </c>
      <c r="K160" s="235">
        <v>7.11</v>
      </c>
      <c r="L160" s="235">
        <f t="shared" si="4"/>
        <v>1.000263697288006</v>
      </c>
      <c r="M160" s="235">
        <f t="shared" si="5"/>
        <v>1.0478214736338174</v>
      </c>
      <c r="O160" s="270"/>
      <c r="P160" s="16"/>
    </row>
    <row r="161" spans="1:16" ht="12.75">
      <c r="A161" s="16">
        <v>41262</v>
      </c>
      <c r="B161">
        <v>7.08</v>
      </c>
      <c r="C161" s="143">
        <f>_XLL.DIATRABALHOTOTAL(A161,$B$2,Feriado!$A$1:$L$62)-1</f>
        <v>262</v>
      </c>
      <c r="D161">
        <v>7.29</v>
      </c>
      <c r="E161" s="143">
        <f>_XLL.DIATRABALHOTOTAL(A161,$D$2,Feriado!$A$1:$L$62)-1</f>
        <v>383</v>
      </c>
      <c r="F161">
        <v>7.6899999999999995</v>
      </c>
      <c r="G161" s="143">
        <f>_XLL.DIATRABALHOTOTAL(A161,$F$2,Feriado!$A$1:$L$62)-1</f>
        <v>514</v>
      </c>
      <c r="H161">
        <v>7.96</v>
      </c>
      <c r="I161" s="143">
        <f>_XLL.DIATRABALHOTOTAL(A161,$H$2,Feriado!$A$1:$L$62)-1</f>
        <v>637</v>
      </c>
      <c r="J161" s="235">
        <v>6.84</v>
      </c>
      <c r="K161" s="235">
        <v>7.11</v>
      </c>
      <c r="L161" s="235">
        <f t="shared" si="4"/>
        <v>1.000262582890495</v>
      </c>
      <c r="M161" s="235">
        <f t="shared" si="5"/>
        <v>1.0480966136250869</v>
      </c>
      <c r="O161" s="270"/>
      <c r="P161" s="16"/>
    </row>
    <row r="162" spans="1:16" ht="12.75">
      <c r="A162" s="16">
        <v>41263</v>
      </c>
      <c r="B162">
        <v>7.14</v>
      </c>
      <c r="C162" s="143">
        <f>_XLL.DIATRABALHOTOTAL(A162,$B$2,Feriado!$A$1:$L$62)-1</f>
        <v>261</v>
      </c>
      <c r="D162">
        <v>7.38</v>
      </c>
      <c r="E162" s="143">
        <f>_XLL.DIATRABALHOTOTAL(A162,$D$2,Feriado!$A$1:$L$62)-1</f>
        <v>382</v>
      </c>
      <c r="F162">
        <v>7.82</v>
      </c>
      <c r="G162" s="143">
        <f>_XLL.DIATRABALHOTOTAL(A162,$F$2,Feriado!$A$1:$L$62)-1</f>
        <v>513</v>
      </c>
      <c r="H162">
        <v>8.07</v>
      </c>
      <c r="I162" s="143">
        <f>_XLL.DIATRABALHOTOTAL(A162,$H$2,Feriado!$A$1:$L$62)-1</f>
        <v>636</v>
      </c>
      <c r="J162" s="235">
        <v>6.85</v>
      </c>
      <c r="K162" s="235">
        <v>7.11</v>
      </c>
      <c r="L162" s="235">
        <f t="shared" si="4"/>
        <v>1.0002629543909585</v>
      </c>
      <c r="M162" s="235">
        <f t="shared" si="5"/>
        <v>1.0483722152317883</v>
      </c>
      <c r="O162" s="270"/>
      <c r="P162" s="16"/>
    </row>
    <row r="163" spans="1:16" ht="12.75">
      <c r="A163" s="16">
        <v>41264</v>
      </c>
      <c r="B163">
        <v>7.17</v>
      </c>
      <c r="C163" s="143">
        <f>_XLL.DIATRABALHOTOTAL(A163,$B$2,Feriado!$A$1:$L$62)-1</f>
        <v>260</v>
      </c>
      <c r="D163">
        <v>7.42</v>
      </c>
      <c r="E163" s="143">
        <f>_XLL.DIATRABALHOTOTAL(A163,$D$2,Feriado!$A$1:$L$62)-1</f>
        <v>381</v>
      </c>
      <c r="F163">
        <v>7.85</v>
      </c>
      <c r="G163" s="143">
        <f>_XLL.DIATRABALHOTOTAL(A163,$F$2,Feriado!$A$1:$L$62)-1</f>
        <v>512</v>
      </c>
      <c r="H163">
        <v>8.08</v>
      </c>
      <c r="I163" s="143">
        <f>_XLL.DIATRABALHOTOTAL(A163,$H$2,Feriado!$A$1:$L$62)-1</f>
        <v>635</v>
      </c>
      <c r="J163" s="235">
        <v>6.87</v>
      </c>
      <c r="K163" s="235">
        <v>7.11</v>
      </c>
      <c r="L163" s="235">
        <f t="shared" si="4"/>
        <v>1.000263697288006</v>
      </c>
      <c r="M163" s="235">
        <f t="shared" si="5"/>
        <v>1.0486486681417657</v>
      </c>
      <c r="O163" s="270"/>
      <c r="P163" s="16"/>
    </row>
    <row r="164" spans="1:16" ht="12.75">
      <c r="A164" s="16">
        <v>41269</v>
      </c>
      <c r="B164">
        <v>7.14</v>
      </c>
      <c r="C164" s="143">
        <f>_XLL.DIATRABALHOTOTAL(A164,$B$2,Feriado!$A$1:$L$62)-1</f>
        <v>258</v>
      </c>
      <c r="D164">
        <v>7.36</v>
      </c>
      <c r="E164" s="143">
        <f>_XLL.DIATRABALHOTOTAL(A164,$D$2,Feriado!$A$1:$L$62)-1</f>
        <v>379</v>
      </c>
      <c r="F164">
        <v>7.78</v>
      </c>
      <c r="G164" s="143">
        <f>_XLL.DIATRABALHOTOTAL(A164,$F$2,Feriado!$A$1:$L$62)-1</f>
        <v>510</v>
      </c>
      <c r="H164">
        <v>8.036</v>
      </c>
      <c r="I164" s="143">
        <f>_XLL.DIATRABALHOTOTAL(A164,$H$2,Feriado!$A$1:$L$62)-1</f>
        <v>633</v>
      </c>
      <c r="J164" s="235">
        <v>6.9</v>
      </c>
      <c r="K164" s="235">
        <v>7.24</v>
      </c>
      <c r="L164" s="235">
        <f t="shared" si="4"/>
        <v>1.0002648113739738</v>
      </c>
      <c r="M164" s="235">
        <f t="shared" si="5"/>
        <v>1.0489263622363922</v>
      </c>
      <c r="O164" s="270"/>
      <c r="P164" s="16"/>
    </row>
    <row r="165" spans="1:16" ht="12.75">
      <c r="A165" s="16">
        <v>41270</v>
      </c>
      <c r="B165">
        <v>7.13</v>
      </c>
      <c r="C165" s="143">
        <f>_XLL.DIATRABALHOTOTAL(A165,$B$2,Feriado!$A$1:$L$62)-1</f>
        <v>257</v>
      </c>
      <c r="D165">
        <v>7.32</v>
      </c>
      <c r="E165" s="143">
        <f>_XLL.DIATRABALHOTOTAL(A165,$D$2,Feriado!$A$1:$L$62)-1</f>
        <v>378</v>
      </c>
      <c r="F165">
        <v>7.73</v>
      </c>
      <c r="G165" s="143">
        <f>_XLL.DIATRABALHOTOTAL(A165,$F$2,Feriado!$A$1:$L$62)-1</f>
        <v>509</v>
      </c>
      <c r="H165">
        <v>7.98</v>
      </c>
      <c r="I165" s="143">
        <f>_XLL.DIATRABALHOTOTAL(A165,$H$2,Feriado!$A$1:$L$62)-1</f>
        <v>632</v>
      </c>
      <c r="J165" s="235">
        <v>6.9</v>
      </c>
      <c r="K165" s="235">
        <v>7.25</v>
      </c>
      <c r="L165" s="235">
        <f t="shared" si="4"/>
        <v>1.0002648113739738</v>
      </c>
      <c r="M165" s="235">
        <f t="shared" si="5"/>
        <v>1.0492041298675734</v>
      </c>
      <c r="O165" s="270"/>
      <c r="P165" s="16"/>
    </row>
    <row r="166" spans="1:16" ht="12.75">
      <c r="A166" s="16">
        <v>41271</v>
      </c>
      <c r="B166">
        <v>7.14</v>
      </c>
      <c r="C166" s="143">
        <f>_XLL.DIATRABALHOTOTAL(A166,$B$2,Feriado!$A$1:$L$62)-1</f>
        <v>256</v>
      </c>
      <c r="D166">
        <v>7.34</v>
      </c>
      <c r="E166" s="143">
        <f>_XLL.DIATRABALHOTOTAL(A166,$D$2,Feriado!$A$1:$L$62)-1</f>
        <v>377</v>
      </c>
      <c r="F166">
        <v>7.71</v>
      </c>
      <c r="G166" s="143">
        <f>_XLL.DIATRABALHOTOTAL(A166,$F$2,Feriado!$A$1:$L$62)-1</f>
        <v>508</v>
      </c>
      <c r="H166">
        <v>7.98</v>
      </c>
      <c r="I166" s="143">
        <f>_XLL.DIATRABALHOTOTAL(A166,$H$2,Feriado!$A$1:$L$62)-1</f>
        <v>631</v>
      </c>
      <c r="J166" s="235">
        <v>6.9</v>
      </c>
      <c r="K166" s="235">
        <v>7.27</v>
      </c>
      <c r="L166" s="235">
        <f t="shared" si="4"/>
        <v>1.0002648113739738</v>
      </c>
      <c r="M166" s="235">
        <f t="shared" si="5"/>
        <v>1.0494819710547827</v>
      </c>
      <c r="O166" s="270"/>
      <c r="P166" s="16"/>
    </row>
    <row r="167" spans="1:16" ht="12.75">
      <c r="A167" s="16">
        <v>41276</v>
      </c>
      <c r="B167">
        <v>7.1</v>
      </c>
      <c r="C167" s="143">
        <f>_XLL.DIATRABALHOTOTAL(A167,$B$2,Feriado!$A$1:$L$62)-1</f>
        <v>254</v>
      </c>
      <c r="D167">
        <v>7.31</v>
      </c>
      <c r="E167" s="143">
        <f>_XLL.DIATRABALHOTOTAL(A167,$D$2,Feriado!$A$1:$L$62)-1</f>
        <v>375</v>
      </c>
      <c r="F167">
        <v>7.73</v>
      </c>
      <c r="G167" s="143">
        <f>_XLL.DIATRABALHOTOTAL(A167,$F$2,Feriado!$A$1:$L$62)-1</f>
        <v>506</v>
      </c>
      <c r="H167">
        <v>7.95</v>
      </c>
      <c r="I167" s="143">
        <f>_XLL.DIATRABALHOTOTAL(A167,$H$2,Feriado!$A$1:$L$62)-1</f>
        <v>629</v>
      </c>
      <c r="J167" s="235">
        <v>6.92</v>
      </c>
      <c r="K167" s="235">
        <v>7.11</v>
      </c>
      <c r="L167" s="235">
        <f t="shared" si="4"/>
        <v>1.000265553924959</v>
      </c>
      <c r="M167" s="235">
        <f t="shared" si="5"/>
        <v>1.04976066511137</v>
      </c>
      <c r="O167" s="270"/>
      <c r="P167" s="16"/>
    </row>
    <row r="168" spans="1:16" ht="12.75">
      <c r="A168" s="16">
        <v>41277</v>
      </c>
      <c r="B168">
        <v>7.11</v>
      </c>
      <c r="C168" s="143">
        <f>_XLL.DIATRABALHOTOTAL(A168,$B$2,Feriado!$A$1:$L$62)-1</f>
        <v>253</v>
      </c>
      <c r="D168">
        <v>7.31</v>
      </c>
      <c r="E168" s="143">
        <f>_XLL.DIATRABALHOTOTAL(A168,$D$2,Feriado!$A$1:$L$62)-1</f>
        <v>374</v>
      </c>
      <c r="F168">
        <v>7.7</v>
      </c>
      <c r="G168" s="143">
        <f>_XLL.DIATRABALHOTOTAL(A168,$F$2,Feriado!$A$1:$L$62)-1</f>
        <v>505</v>
      </c>
      <c r="H168">
        <v>7.937</v>
      </c>
      <c r="I168" s="143">
        <f>_XLL.DIATRABALHOTOTAL(A168,$H$2,Feriado!$A$1:$L$62)-1</f>
        <v>628</v>
      </c>
      <c r="J168" s="235">
        <v>6.92</v>
      </c>
      <c r="K168" s="235">
        <v>7.11</v>
      </c>
      <c r="L168" s="235">
        <f t="shared" si="4"/>
        <v>1.000265553924959</v>
      </c>
      <c r="M168" s="235">
        <f t="shared" si="5"/>
        <v>1.050039433176258</v>
      </c>
      <c r="O168" s="270"/>
      <c r="P168" s="16"/>
    </row>
    <row r="169" spans="1:16" ht="12.75">
      <c r="A169" s="16">
        <v>41278</v>
      </c>
      <c r="B169">
        <v>7.13</v>
      </c>
      <c r="C169" s="143">
        <f>_XLL.DIATRABALHOTOTAL(A169,$B$2,Feriado!$A$1:$L$62)-1</f>
        <v>252</v>
      </c>
      <c r="D169">
        <v>7.34</v>
      </c>
      <c r="E169" s="143">
        <f>_XLL.DIATRABALHOTOTAL(A169,$D$2,Feriado!$A$1:$L$62)-1</f>
        <v>373</v>
      </c>
      <c r="F169">
        <v>7.74</v>
      </c>
      <c r="G169" s="143">
        <f>_XLL.DIATRABALHOTOTAL(A169,$F$2,Feriado!$A$1:$L$62)-1</f>
        <v>504</v>
      </c>
      <c r="H169">
        <v>7.98</v>
      </c>
      <c r="I169" s="143">
        <f>_XLL.DIATRABALHOTOTAL(A169,$H$2,Feriado!$A$1:$L$62)-1</f>
        <v>627</v>
      </c>
      <c r="J169" s="235">
        <v>6.93</v>
      </c>
      <c r="K169" s="235">
        <v>7.11</v>
      </c>
      <c r="L169" s="235">
        <f t="shared" si="4"/>
        <v>1.000265925148573</v>
      </c>
      <c r="M169" s="235">
        <f t="shared" si="5"/>
        <v>1.0503186650685328</v>
      </c>
      <c r="O169" s="270"/>
      <c r="P169" s="16"/>
    </row>
    <row r="170" spans="1:16" ht="12.75">
      <c r="A170" s="16">
        <v>41281</v>
      </c>
      <c r="B170">
        <v>7.12</v>
      </c>
      <c r="C170" s="143">
        <f>_XLL.DIATRABALHOTOTAL(A170,$B$2,Feriado!$A$1:$L$62)-1</f>
        <v>251</v>
      </c>
      <c r="D170">
        <v>7.31</v>
      </c>
      <c r="E170" s="143">
        <f>_XLL.DIATRABALHOTOTAL(A170,$D$2,Feriado!$A$1:$L$62)-1</f>
        <v>372</v>
      </c>
      <c r="F170">
        <v>7.7</v>
      </c>
      <c r="G170" s="143">
        <f>_XLL.DIATRABALHOTOTAL(A170,$F$2,Feriado!$A$1:$L$62)-1</f>
        <v>503</v>
      </c>
      <c r="H170">
        <v>7.96</v>
      </c>
      <c r="I170" s="143">
        <f>_XLL.DIATRABALHOTOTAL(A170,$H$2,Feriado!$A$1:$L$62)-1</f>
        <v>626</v>
      </c>
      <c r="J170" s="235">
        <v>6.92</v>
      </c>
      <c r="K170" s="235">
        <v>7.11</v>
      </c>
      <c r="L170" s="235">
        <f t="shared" si="4"/>
        <v>1.000265553924959</v>
      </c>
      <c r="M170" s="235">
        <f t="shared" si="5"/>
        <v>1.0505975813124995</v>
      </c>
      <c r="O170" s="270"/>
      <c r="P170" s="16"/>
    </row>
    <row r="171" spans="1:16" ht="12.75">
      <c r="A171" s="16">
        <v>41282</v>
      </c>
      <c r="B171">
        <v>7.16</v>
      </c>
      <c r="C171" s="143">
        <f>_XLL.DIATRABALHOTOTAL(A171,$B$2,Feriado!$A$1:$L$62)-1</f>
        <v>250</v>
      </c>
      <c r="D171">
        <v>7.38</v>
      </c>
      <c r="E171" s="143">
        <f>_XLL.DIATRABALHOTOTAL(A171,$D$2,Feriado!$A$1:$L$62)-1</f>
        <v>371</v>
      </c>
      <c r="F171">
        <v>7.79</v>
      </c>
      <c r="G171" s="143">
        <f>_XLL.DIATRABALHOTOTAL(A171,$F$2,Feriado!$A$1:$L$62)-1</f>
        <v>502</v>
      </c>
      <c r="H171">
        <v>8.06</v>
      </c>
      <c r="I171" s="143">
        <f>_XLL.DIATRABALHOTOTAL(A171,$H$2,Feriado!$A$1:$L$62)-1</f>
        <v>625</v>
      </c>
      <c r="J171" s="235">
        <v>6.91</v>
      </c>
      <c r="K171" s="235">
        <v>7.11</v>
      </c>
      <c r="L171" s="235">
        <f t="shared" si="4"/>
        <v>1.0002651826667615</v>
      </c>
      <c r="M171" s="235">
        <f t="shared" si="5"/>
        <v>1.050876181580805</v>
      </c>
      <c r="O171" s="270"/>
      <c r="P171" s="16"/>
    </row>
    <row r="172" spans="1:16" ht="12.75">
      <c r="A172" s="16">
        <v>41283</v>
      </c>
      <c r="B172">
        <v>7.14</v>
      </c>
      <c r="C172" s="143">
        <f>_XLL.DIATRABALHOTOTAL(A172,$B$2,Feriado!$A$1:$L$62)-1</f>
        <v>249</v>
      </c>
      <c r="D172">
        <v>7.35</v>
      </c>
      <c r="E172" s="143">
        <f>_XLL.DIATRABALHOTOTAL(A172,$D$2,Feriado!$A$1:$L$62)-1</f>
        <v>370</v>
      </c>
      <c r="F172">
        <v>7.77</v>
      </c>
      <c r="G172" s="143">
        <f>_XLL.DIATRABALHOTOTAL(A172,$F$2,Feriado!$A$1:$L$62)-1</f>
        <v>501</v>
      </c>
      <c r="H172">
        <v>8.02</v>
      </c>
      <c r="I172" s="143">
        <f>_XLL.DIATRABALHOTOTAL(A172,$H$2,Feriado!$A$1:$L$62)-1</f>
        <v>624</v>
      </c>
      <c r="J172" s="235">
        <v>6.9</v>
      </c>
      <c r="K172" s="235">
        <v>7.11</v>
      </c>
      <c r="L172" s="235">
        <f t="shared" si="4"/>
        <v>1.0002648113739738</v>
      </c>
      <c r="M172" s="235">
        <f t="shared" si="5"/>
        <v>1.0511544655463259</v>
      </c>
      <c r="O172" s="270"/>
      <c r="P172" s="16"/>
    </row>
    <row r="173" spans="1:16" ht="12.75">
      <c r="A173" s="16">
        <v>41284</v>
      </c>
      <c r="B173">
        <v>7.12</v>
      </c>
      <c r="C173" s="143">
        <f>_XLL.DIATRABALHOTOTAL(A173,$B$2,Feriado!$A$1:$L$62)-1</f>
        <v>248</v>
      </c>
      <c r="D173">
        <v>7.32</v>
      </c>
      <c r="E173" s="143">
        <f>_XLL.DIATRABALHOTOTAL(A173,$D$2,Feriado!$A$1:$L$62)-1</f>
        <v>369</v>
      </c>
      <c r="F173">
        <v>7.74</v>
      </c>
      <c r="G173" s="143">
        <f>_XLL.DIATRABALHOTOTAL(A173,$F$2,Feriado!$A$1:$L$62)-1</f>
        <v>500</v>
      </c>
      <c r="H173">
        <v>8</v>
      </c>
      <c r="I173" s="143">
        <f>_XLL.DIATRABALHOTOTAL(A173,$H$2,Feriado!$A$1:$L$62)-1</f>
        <v>623</v>
      </c>
      <c r="J173" s="235">
        <v>6.91</v>
      </c>
      <c r="K173" s="235">
        <v>7.11</v>
      </c>
      <c r="L173" s="235">
        <f t="shared" si="4"/>
        <v>1.0002651826667615</v>
      </c>
      <c r="M173" s="235">
        <f t="shared" si="5"/>
        <v>1.0514332134906776</v>
      </c>
      <c r="O173" s="270"/>
      <c r="P173" s="16"/>
    </row>
    <row r="174" spans="1:16" ht="12.75">
      <c r="A174" s="16">
        <v>41285</v>
      </c>
      <c r="B174">
        <v>7.11</v>
      </c>
      <c r="C174" s="143">
        <f>_XLL.DIATRABALHOTOTAL(A174,$B$2,Feriado!$A$1:$L$62)-1</f>
        <v>247</v>
      </c>
      <c r="D174">
        <v>7.32</v>
      </c>
      <c r="E174" s="143">
        <f>_XLL.DIATRABALHOTOTAL(A174,$D$2,Feriado!$A$1:$L$62)-1</f>
        <v>368</v>
      </c>
      <c r="F174">
        <v>7.73</v>
      </c>
      <c r="G174" s="143">
        <f>_XLL.DIATRABALHOTOTAL(A174,$F$2,Feriado!$A$1:$L$62)-1</f>
        <v>499</v>
      </c>
      <c r="H174">
        <v>7.99</v>
      </c>
      <c r="I174" s="143">
        <f>_XLL.DIATRABALHOTOTAL(A174,$H$2,Feriado!$A$1:$L$62)-1</f>
        <v>622</v>
      </c>
      <c r="J174" s="235">
        <v>6.92</v>
      </c>
      <c r="K174" s="235">
        <v>7.11</v>
      </c>
      <c r="L174" s="235">
        <f t="shared" si="4"/>
        <v>1.000265553924959</v>
      </c>
      <c r="M174" s="235">
        <f t="shared" si="5"/>
        <v>1.0517124257073522</v>
      </c>
      <c r="O174" s="270"/>
      <c r="P174" s="16"/>
    </row>
    <row r="175" spans="1:16" ht="12.75">
      <c r="A175" s="16">
        <v>41288</v>
      </c>
      <c r="B175">
        <v>7.1</v>
      </c>
      <c r="C175" s="143">
        <f>_XLL.DIATRABALHOTOTAL(A175,$B$2,Feriado!$A$1:$L$62)-1</f>
        <v>246</v>
      </c>
      <c r="D175">
        <v>7.31</v>
      </c>
      <c r="E175" s="143">
        <f>_XLL.DIATRABALHOTOTAL(A175,$D$2,Feriado!$A$1:$L$62)-1</f>
        <v>367</v>
      </c>
      <c r="F175">
        <v>7.6899999999999995</v>
      </c>
      <c r="G175" s="143">
        <f>_XLL.DIATRABALHOTOTAL(A175,$F$2,Feriado!$A$1:$L$62)-1</f>
        <v>498</v>
      </c>
      <c r="H175">
        <v>7.96</v>
      </c>
      <c r="I175" s="143">
        <f>_XLL.DIATRABALHOTOTAL(A175,$H$2,Feriado!$A$1:$L$62)-1</f>
        <v>621</v>
      </c>
      <c r="J175" s="235">
        <v>6.93</v>
      </c>
      <c r="K175" s="235">
        <v>7.11</v>
      </c>
      <c r="L175" s="235">
        <f t="shared" si="4"/>
        <v>1.000265925148573</v>
      </c>
      <c r="M175" s="235">
        <f t="shared" si="5"/>
        <v>1.0519921024904146</v>
      </c>
      <c r="O175" s="270"/>
      <c r="P175" s="16"/>
    </row>
    <row r="176" spans="1:16" ht="12.75">
      <c r="A176" s="16">
        <v>41289</v>
      </c>
      <c r="B176">
        <v>7.11</v>
      </c>
      <c r="C176" s="143">
        <f>_XLL.DIATRABALHOTOTAL(A176,$B$2,Feriado!$A$1:$L$62)-1</f>
        <v>245</v>
      </c>
      <c r="D176">
        <v>7.33</v>
      </c>
      <c r="E176" s="143">
        <f>_XLL.DIATRABALHOTOTAL(A176,$D$2,Feriado!$A$1:$L$62)-1</f>
        <v>366</v>
      </c>
      <c r="F176">
        <v>7.71</v>
      </c>
      <c r="G176" s="143">
        <f>_XLL.DIATRABALHOTOTAL(A176,$F$2,Feriado!$A$1:$L$62)-1</f>
        <v>497</v>
      </c>
      <c r="H176">
        <v>7.97</v>
      </c>
      <c r="I176" s="143">
        <f>_XLL.DIATRABALHOTOTAL(A176,$H$2,Feriado!$A$1:$L$62)-1</f>
        <v>620</v>
      </c>
      <c r="J176" s="235">
        <v>6.9399999999999995</v>
      </c>
      <c r="K176" s="235">
        <v>7.11</v>
      </c>
      <c r="L176" s="235">
        <f t="shared" si="4"/>
        <v>1.0002662963376099</v>
      </c>
      <c r="M176" s="235">
        <f t="shared" si="5"/>
        <v>1.0522722441345023</v>
      </c>
      <c r="O176" s="270"/>
      <c r="P176" s="16"/>
    </row>
    <row r="177" spans="1:16" ht="12.75">
      <c r="A177" s="16">
        <v>41290</v>
      </c>
      <c r="B177">
        <v>7.16</v>
      </c>
      <c r="C177" s="143">
        <f>_XLL.DIATRABALHOTOTAL(A177,$B$2,Feriado!$A$1:$L$62)-1</f>
        <v>244</v>
      </c>
      <c r="D177">
        <v>7.37</v>
      </c>
      <c r="E177" s="143">
        <f>_XLL.DIATRABALHOTOTAL(A177,$D$2,Feriado!$A$1:$L$62)-1</f>
        <v>365</v>
      </c>
      <c r="F177">
        <v>7.76</v>
      </c>
      <c r="G177" s="143">
        <f>_XLL.DIATRABALHOTOTAL(A177,$F$2,Feriado!$A$1:$L$62)-1</f>
        <v>496</v>
      </c>
      <c r="H177">
        <v>8.01</v>
      </c>
      <c r="I177" s="143">
        <f>_XLL.DIATRABALHOTOTAL(A177,$H$2,Feriado!$A$1:$L$62)-1</f>
        <v>619</v>
      </c>
      <c r="J177" s="235">
        <v>6.9399999999999995</v>
      </c>
      <c r="K177" s="235">
        <v>7.11</v>
      </c>
      <c r="L177" s="235">
        <f t="shared" si="4"/>
        <v>1.0002662963376099</v>
      </c>
      <c r="M177" s="235">
        <f t="shared" si="5"/>
        <v>1.0525524603792837</v>
      </c>
      <c r="O177" s="270"/>
      <c r="P177" s="16"/>
    </row>
    <row r="178" spans="1:16" ht="12.75">
      <c r="A178" s="16">
        <v>41291</v>
      </c>
      <c r="B178">
        <v>7.19</v>
      </c>
      <c r="C178" s="143">
        <f>_XLL.DIATRABALHOTOTAL(A178,$B$2,Feriado!$A$1:$L$62)-1</f>
        <v>243</v>
      </c>
      <c r="D178">
        <v>7.47</v>
      </c>
      <c r="E178" s="143">
        <f>_XLL.DIATRABALHOTOTAL(A178,$D$2,Feriado!$A$1:$L$62)-1</f>
        <v>364</v>
      </c>
      <c r="F178">
        <v>7.87</v>
      </c>
      <c r="G178" s="143">
        <f>_XLL.DIATRABALHOTOTAL(A178,$F$2,Feriado!$A$1:$L$62)-1</f>
        <v>495</v>
      </c>
      <c r="H178">
        <v>8.14</v>
      </c>
      <c r="I178" s="143">
        <f>_XLL.DIATRABALHOTOTAL(A178,$H$2,Feriado!$A$1:$L$62)-1</f>
        <v>618</v>
      </c>
      <c r="J178" s="235">
        <v>6.9399999999999995</v>
      </c>
      <c r="K178" s="235">
        <v>7.11</v>
      </c>
      <c r="L178" s="235">
        <f t="shared" si="4"/>
        <v>1.0002662963376099</v>
      </c>
      <c r="M178" s="235">
        <f t="shared" si="5"/>
        <v>1.052832751244625</v>
      </c>
      <c r="O178" s="270"/>
      <c r="P178" s="16"/>
    </row>
    <row r="179" spans="1:16" ht="12.75">
      <c r="A179" s="16">
        <v>41292</v>
      </c>
      <c r="B179">
        <v>7.18</v>
      </c>
      <c r="C179" s="143">
        <f>_XLL.DIATRABALHOTOTAL(A179,$B$2,Feriado!$A$1:$L$62)-1</f>
        <v>242</v>
      </c>
      <c r="D179">
        <v>7.46</v>
      </c>
      <c r="E179" s="143">
        <f>_XLL.DIATRABALHOTOTAL(A179,$D$2,Feriado!$A$1:$L$62)-1</f>
        <v>363</v>
      </c>
      <c r="F179">
        <v>7.88</v>
      </c>
      <c r="G179" s="143">
        <f>_XLL.DIATRABALHOTOTAL(A179,$F$2,Feriado!$A$1:$L$62)-1</f>
        <v>494</v>
      </c>
      <c r="H179">
        <v>8.18</v>
      </c>
      <c r="I179" s="143">
        <f>_XLL.DIATRABALHOTOTAL(A179,$H$2,Feriado!$A$1:$L$62)-1</f>
        <v>617</v>
      </c>
      <c r="J179" s="235">
        <v>6.92</v>
      </c>
      <c r="K179" s="235">
        <v>7.11</v>
      </c>
      <c r="L179" s="235">
        <f t="shared" si="4"/>
        <v>1.000265553924959</v>
      </c>
      <c r="M179" s="235">
        <f t="shared" si="5"/>
        <v>1.0531123351140432</v>
      </c>
      <c r="O179" s="270"/>
      <c r="P179" s="16"/>
    </row>
    <row r="180" spans="1:16" ht="12.75">
      <c r="A180" s="16">
        <v>41295</v>
      </c>
      <c r="B180">
        <v>7.13</v>
      </c>
      <c r="C180" s="143">
        <f>_XLL.DIATRABALHOTOTAL(A180,$B$2,Feriado!$A$1:$L$62)-1</f>
        <v>241</v>
      </c>
      <c r="D180">
        <v>7.38</v>
      </c>
      <c r="E180" s="143">
        <f>_XLL.DIATRABALHOTOTAL(A180,$D$2,Feriado!$A$1:$L$62)-1</f>
        <v>362</v>
      </c>
      <c r="F180">
        <v>7.8100000000000005</v>
      </c>
      <c r="G180" s="143">
        <f>_XLL.DIATRABALHOTOTAL(A180,$F$2,Feriado!$A$1:$L$62)-1</f>
        <v>493</v>
      </c>
      <c r="H180">
        <v>8.09</v>
      </c>
      <c r="I180" s="143">
        <f>_XLL.DIATRABALHOTOTAL(A180,$H$2,Feriado!$A$1:$L$62)-1</f>
        <v>616</v>
      </c>
      <c r="J180" s="235">
        <v>6.93</v>
      </c>
      <c r="K180" s="235">
        <v>7.11</v>
      </c>
      <c r="L180" s="235">
        <f t="shared" si="4"/>
        <v>1.000265925148573</v>
      </c>
      <c r="M180" s="235">
        <f t="shared" si="5"/>
        <v>1.0533923841682225</v>
      </c>
      <c r="O180" s="270"/>
      <c r="P180" s="16"/>
    </row>
    <row r="181" spans="1:16" ht="12.75">
      <c r="A181" s="16">
        <v>41296</v>
      </c>
      <c r="B181">
        <v>7.17</v>
      </c>
      <c r="C181" s="143">
        <f>_XLL.DIATRABALHOTOTAL(A181,$B$2,Feriado!$A$1:$L$62)-1</f>
        <v>240</v>
      </c>
      <c r="D181">
        <v>7.44</v>
      </c>
      <c r="E181" s="143">
        <f>_XLL.DIATRABALHOTOTAL(A181,$D$2,Feriado!$A$1:$L$62)-1</f>
        <v>361</v>
      </c>
      <c r="F181">
        <v>7.88</v>
      </c>
      <c r="G181" s="143">
        <f>_XLL.DIATRABALHOTOTAL(A181,$F$2,Feriado!$A$1:$L$62)-1</f>
        <v>492</v>
      </c>
      <c r="H181">
        <v>8.16</v>
      </c>
      <c r="I181" s="143">
        <f>_XLL.DIATRABALHOTOTAL(A181,$H$2,Feriado!$A$1:$L$62)-1</f>
        <v>615</v>
      </c>
      <c r="J181" s="235">
        <v>6.93</v>
      </c>
      <c r="K181" s="235">
        <v>7.11</v>
      </c>
      <c r="L181" s="235">
        <f t="shared" si="4"/>
        <v>1.000265925148573</v>
      </c>
      <c r="M181" s="235">
        <f t="shared" si="5"/>
        <v>1.0536725076944882</v>
      </c>
      <c r="O181" s="270"/>
      <c r="P181" s="16"/>
    </row>
    <row r="182" spans="1:16" ht="12.75">
      <c r="A182" s="16">
        <v>41297</v>
      </c>
      <c r="B182">
        <v>7.18</v>
      </c>
      <c r="C182" s="143">
        <f>_XLL.DIATRABALHOTOTAL(A182,$B$2,Feriado!$A$1:$L$62)-1</f>
        <v>239</v>
      </c>
      <c r="D182">
        <v>7.45</v>
      </c>
      <c r="E182" s="143">
        <f>_XLL.DIATRABALHOTOTAL(A182,$D$2,Feriado!$A$1:$L$62)-1</f>
        <v>360</v>
      </c>
      <c r="F182">
        <v>7.86</v>
      </c>
      <c r="G182" s="143">
        <f>_XLL.DIATRABALHOTOTAL(A182,$F$2,Feriado!$A$1:$L$62)-1</f>
        <v>491</v>
      </c>
      <c r="H182">
        <v>8.14</v>
      </c>
      <c r="I182" s="143">
        <f>_XLL.DIATRABALHOTOTAL(A182,$H$2,Feriado!$A$1:$L$62)-1</f>
        <v>614</v>
      </c>
      <c r="J182" s="235">
        <v>6.93</v>
      </c>
      <c r="K182" s="235">
        <v>7.11</v>
      </c>
      <c r="L182" s="235">
        <f t="shared" si="4"/>
        <v>1.000265925148573</v>
      </c>
      <c r="M182" s="235">
        <f t="shared" si="5"/>
        <v>1.053952705712644</v>
      </c>
      <c r="O182" s="270"/>
      <c r="P182" s="16"/>
    </row>
    <row r="183" spans="1:16" ht="12.75">
      <c r="A183" s="16">
        <v>41298</v>
      </c>
      <c r="B183">
        <v>7.25</v>
      </c>
      <c r="C183" s="143">
        <f>_XLL.DIATRABALHOTOTAL(A183,$B$2,Feriado!$A$1:$L$62)-1</f>
        <v>238</v>
      </c>
      <c r="D183">
        <v>7.54</v>
      </c>
      <c r="E183" s="143">
        <f>_XLL.DIATRABALHOTOTAL(A183,$D$2,Feriado!$A$1:$L$62)-1</f>
        <v>359</v>
      </c>
      <c r="F183">
        <v>7.96</v>
      </c>
      <c r="G183" s="143">
        <f>_XLL.DIATRABALHOTOTAL(A183,$F$2,Feriado!$A$1:$L$62)-1</f>
        <v>490</v>
      </c>
      <c r="H183">
        <v>8.23</v>
      </c>
      <c r="I183" s="143">
        <f>_XLL.DIATRABALHOTOTAL(A183,$H$2,Feriado!$A$1:$L$62)-1</f>
        <v>613</v>
      </c>
      <c r="J183" s="235">
        <v>6.93</v>
      </c>
      <c r="K183" s="235">
        <v>7.11</v>
      </c>
      <c r="L183" s="235">
        <f t="shared" si="4"/>
        <v>1.000265925148573</v>
      </c>
      <c r="M183" s="235">
        <f t="shared" si="5"/>
        <v>1.0542329782424997</v>
      </c>
      <c r="O183" s="270"/>
      <c r="P183" s="16"/>
    </row>
    <row r="184" spans="1:16" ht="12.75">
      <c r="A184" s="16">
        <v>41302</v>
      </c>
      <c r="B184">
        <v>7.24</v>
      </c>
      <c r="C184" s="143">
        <f>_XLL.DIATRABALHOTOTAL(A184,$B$2,Feriado!$A$1:$L$62)-1</f>
        <v>236</v>
      </c>
      <c r="D184">
        <v>7.53</v>
      </c>
      <c r="E184" s="143">
        <f>_XLL.DIATRABALHOTOTAL(A184,$D$2,Feriado!$A$1:$L$62)-1</f>
        <v>357</v>
      </c>
      <c r="F184">
        <v>7.9399999999999995</v>
      </c>
      <c r="G184" s="143">
        <f>_XLL.DIATRABALHOTOTAL(A184,$F$2,Feriado!$A$1:$L$62)-1</f>
        <v>488</v>
      </c>
      <c r="H184">
        <v>8.23</v>
      </c>
      <c r="I184" s="143">
        <f>_XLL.DIATRABALHOTOTAL(A184,$H$2,Feriado!$A$1:$L$62)-1</f>
        <v>611</v>
      </c>
      <c r="J184" s="235">
        <v>6.9399999999999995</v>
      </c>
      <c r="K184" s="235">
        <v>7.11</v>
      </c>
      <c r="L184" s="235">
        <f t="shared" si="4"/>
        <v>1.0002662963376099</v>
      </c>
      <c r="M184" s="235">
        <f t="shared" si="5"/>
        <v>1.0545137166235932</v>
      </c>
      <c r="O184" s="270"/>
      <c r="P184" s="16"/>
    </row>
    <row r="185" spans="1:16" ht="12.75">
      <c r="A185" s="16">
        <v>41303</v>
      </c>
      <c r="B185">
        <v>7.19</v>
      </c>
      <c r="C185" s="143">
        <f>_XLL.DIATRABALHOTOTAL(A185,$B$2,Feriado!$A$1:$L$62)-1</f>
        <v>235</v>
      </c>
      <c r="D185">
        <v>7.47</v>
      </c>
      <c r="E185" s="143">
        <f>_XLL.DIATRABALHOTOTAL(A185,$D$2,Feriado!$A$1:$L$62)-1</f>
        <v>356</v>
      </c>
      <c r="F185">
        <v>7.87</v>
      </c>
      <c r="G185" s="143">
        <f>_XLL.DIATRABALHOTOTAL(A185,$F$2,Feriado!$A$1:$L$62)-1</f>
        <v>487</v>
      </c>
      <c r="H185">
        <v>8.15</v>
      </c>
      <c r="I185" s="143">
        <f>_XLL.DIATRABALHOTOTAL(A185,$H$2,Feriado!$A$1:$L$62)-1</f>
        <v>610</v>
      </c>
      <c r="J185" s="235">
        <v>6.95</v>
      </c>
      <c r="K185" s="235">
        <v>7.11</v>
      </c>
      <c r="L185" s="235">
        <f t="shared" si="4"/>
        <v>1.0002666674920762</v>
      </c>
      <c r="M185" s="235">
        <f t="shared" si="5"/>
        <v>1.054794921151765</v>
      </c>
      <c r="O185" s="270"/>
      <c r="P185" s="16"/>
    </row>
    <row r="186" spans="1:16" ht="12.75">
      <c r="A186" s="16">
        <v>41304</v>
      </c>
      <c r="B186">
        <v>7.2</v>
      </c>
      <c r="C186" s="143">
        <f>_XLL.DIATRABALHOTOTAL(A186,$B$2,Feriado!$A$1:$L$62)-1</f>
        <v>234</v>
      </c>
      <c r="D186">
        <v>7.51</v>
      </c>
      <c r="E186" s="143">
        <f>_XLL.DIATRABALHOTOTAL(A186,$D$2,Feriado!$A$1:$L$62)-1</f>
        <v>355</v>
      </c>
      <c r="F186">
        <v>7.91</v>
      </c>
      <c r="G186" s="143">
        <f>_XLL.DIATRABALHOTOTAL(A186,$F$2,Feriado!$A$1:$L$62)-1</f>
        <v>486</v>
      </c>
      <c r="H186">
        <v>8.19</v>
      </c>
      <c r="I186" s="143">
        <f>_XLL.DIATRABALHOTOTAL(A186,$H$2,Feriado!$A$1:$L$62)-1</f>
        <v>609</v>
      </c>
      <c r="J186" s="235">
        <v>6.95</v>
      </c>
      <c r="K186" s="235">
        <v>7.11</v>
      </c>
      <c r="L186" s="235">
        <f t="shared" si="4"/>
        <v>1.0002666674920762</v>
      </c>
      <c r="M186" s="235">
        <f t="shared" si="5"/>
        <v>1.0550762006680432</v>
      </c>
      <c r="O186" s="270"/>
      <c r="P186" s="16"/>
    </row>
    <row r="187" spans="1:16" ht="12.75">
      <c r="A187" s="16">
        <v>41305</v>
      </c>
      <c r="B187">
        <v>7.22</v>
      </c>
      <c r="C187" s="143">
        <f>_XLL.DIATRABALHOTOTAL(A187,$B$2,Feriado!$A$1:$L$62)-1</f>
        <v>233</v>
      </c>
      <c r="D187">
        <v>7.54</v>
      </c>
      <c r="E187" s="143">
        <f>_XLL.DIATRABALHOTOTAL(A187,$D$2,Feriado!$A$1:$L$62)-1</f>
        <v>354</v>
      </c>
      <c r="F187">
        <v>7.95</v>
      </c>
      <c r="G187" s="143">
        <f>_XLL.DIATRABALHOTOTAL(A187,$F$2,Feriado!$A$1:$L$62)-1</f>
        <v>485</v>
      </c>
      <c r="H187">
        <v>8.25</v>
      </c>
      <c r="I187" s="143">
        <f>_XLL.DIATRABALHOTOTAL(A187,$H$2,Feriado!$A$1:$L$62)-1</f>
        <v>608</v>
      </c>
      <c r="J187" s="235">
        <v>6.95</v>
      </c>
      <c r="K187" s="235">
        <v>7.11</v>
      </c>
      <c r="L187" s="235">
        <f t="shared" si="4"/>
        <v>1.0002666674920762</v>
      </c>
      <c r="M187" s="235">
        <f t="shared" si="5"/>
        <v>1.0553575551924246</v>
      </c>
      <c r="O187" s="270"/>
      <c r="P187" s="16"/>
    </row>
    <row r="188" spans="1:16" ht="12.75">
      <c r="A188" s="16">
        <v>41306</v>
      </c>
      <c r="B188">
        <v>7.26</v>
      </c>
      <c r="C188" s="143">
        <f>_XLL.DIATRABALHOTOTAL(A188,$B$2,Feriado!$A$1:$L$62)-1</f>
        <v>232</v>
      </c>
      <c r="D188">
        <v>7.58</v>
      </c>
      <c r="E188" s="143">
        <f>_XLL.DIATRABALHOTOTAL(A188,$D$2,Feriado!$A$1:$L$62)-1</f>
        <v>353</v>
      </c>
      <c r="F188">
        <v>7.99</v>
      </c>
      <c r="G188" s="143">
        <f>_XLL.DIATRABALHOTOTAL(A188,$F$2,Feriado!$A$1:$L$62)-1</f>
        <v>484</v>
      </c>
      <c r="H188">
        <v>8.26</v>
      </c>
      <c r="I188" s="143">
        <f>_XLL.DIATRABALHOTOTAL(A188,$H$2,Feriado!$A$1:$L$62)-1</f>
        <v>607</v>
      </c>
      <c r="J188" s="235">
        <v>6.95</v>
      </c>
      <c r="K188" s="235">
        <v>7.11</v>
      </c>
      <c r="L188" s="235">
        <f t="shared" si="4"/>
        <v>1.0002666674920762</v>
      </c>
      <c r="M188" s="235">
        <f t="shared" si="5"/>
        <v>1.0556389847449115</v>
      </c>
      <c r="O188" s="270"/>
      <c r="P188" s="16"/>
    </row>
    <row r="189" spans="1:16" ht="12.75">
      <c r="A189" s="16">
        <v>41309</v>
      </c>
      <c r="B189">
        <v>7.24</v>
      </c>
      <c r="C189" s="143">
        <f>_XLL.DIATRABALHOTOTAL(A189,$B$2,Feriado!$A$1:$L$62)-1</f>
        <v>231</v>
      </c>
      <c r="D189">
        <v>7.57</v>
      </c>
      <c r="E189" s="143">
        <f>_XLL.DIATRABALHOTOTAL(A189,$D$2,Feriado!$A$1:$L$62)-1</f>
        <v>352</v>
      </c>
      <c r="F189">
        <v>7.99</v>
      </c>
      <c r="G189" s="143">
        <f>_XLL.DIATRABALHOTOTAL(A189,$F$2,Feriado!$A$1:$L$62)-1</f>
        <v>483</v>
      </c>
      <c r="H189">
        <v>8.28</v>
      </c>
      <c r="I189" s="143">
        <f>_XLL.DIATRABALHOTOTAL(A189,$H$2,Feriado!$A$1:$L$62)-1</f>
        <v>606</v>
      </c>
      <c r="J189" s="235">
        <v>6.96</v>
      </c>
      <c r="K189" s="235">
        <v>7.11</v>
      </c>
      <c r="L189" s="235">
        <f t="shared" si="4"/>
        <v>1.0002670386119783</v>
      </c>
      <c r="M189" s="235">
        <f t="shared" si="5"/>
        <v>1.0559208811141478</v>
      </c>
      <c r="O189" s="270"/>
      <c r="P189" s="16"/>
    </row>
    <row r="190" spans="1:16" ht="12.75">
      <c r="A190" s="16">
        <v>41310</v>
      </c>
      <c r="B190">
        <v>7.28</v>
      </c>
      <c r="C190" s="143">
        <f>_XLL.DIATRABALHOTOTAL(A190,$B$2,Feriado!$A$1:$L$62)-1</f>
        <v>230</v>
      </c>
      <c r="D190">
        <v>7.59</v>
      </c>
      <c r="E190" s="143">
        <f>_XLL.DIATRABALHOTOTAL(A190,$D$2,Feriado!$A$1:$L$62)-1</f>
        <v>351</v>
      </c>
      <c r="F190">
        <v>8.02</v>
      </c>
      <c r="G190" s="143">
        <f>_XLL.DIATRABALHOTOTAL(A190,$F$2,Feriado!$A$1:$L$62)-1</f>
        <v>482</v>
      </c>
      <c r="H190">
        <v>8.32</v>
      </c>
      <c r="I190" s="143">
        <f>_XLL.DIATRABALHOTOTAL(A190,$H$2,Feriado!$A$1:$L$62)-1</f>
        <v>605</v>
      </c>
      <c r="J190" s="235">
        <v>6.96</v>
      </c>
      <c r="K190" s="235">
        <v>7.11</v>
      </c>
      <c r="L190" s="235">
        <f t="shared" si="4"/>
        <v>1.0002670386119783</v>
      </c>
      <c r="M190" s="235">
        <f t="shared" si="5"/>
        <v>1.0562028527605996</v>
      </c>
      <c r="O190" s="270"/>
      <c r="P190" s="16"/>
    </row>
    <row r="191" spans="1:16" ht="12.75">
      <c r="A191" s="16">
        <v>41311</v>
      </c>
      <c r="B191">
        <v>7.35</v>
      </c>
      <c r="C191" s="143">
        <f>_XLL.DIATRABALHOTOTAL(A191,$B$2,Feriado!$A$1:$L$62)-1</f>
        <v>229</v>
      </c>
      <c r="D191">
        <v>7.66</v>
      </c>
      <c r="E191" s="143">
        <f>_XLL.DIATRABALHOTOTAL(A191,$D$2,Feriado!$A$1:$L$62)-1</f>
        <v>350</v>
      </c>
      <c r="F191">
        <v>8.09</v>
      </c>
      <c r="G191" s="143">
        <f>_XLL.DIATRABALHOTOTAL(A191,$F$2,Feriado!$A$1:$L$62)-1</f>
        <v>481</v>
      </c>
      <c r="H191">
        <v>8.4</v>
      </c>
      <c r="I191" s="143">
        <f>_XLL.DIATRABALHOTOTAL(A191,$H$2,Feriado!$A$1:$L$62)-1</f>
        <v>604</v>
      </c>
      <c r="J191" s="235">
        <v>6.96</v>
      </c>
      <c r="K191" s="235">
        <v>7.11</v>
      </c>
      <c r="L191" s="235">
        <f t="shared" si="4"/>
        <v>1.0002670386119783</v>
      </c>
      <c r="M191" s="235">
        <f t="shared" si="5"/>
        <v>1.0564848997043683</v>
      </c>
      <c r="O191" s="270"/>
      <c r="P191" s="16"/>
    </row>
    <row r="192" spans="1:16" ht="12.75">
      <c r="A192" s="16">
        <v>41312</v>
      </c>
      <c r="B192">
        <v>7.44</v>
      </c>
      <c r="C192" s="143">
        <f>_XLL.DIATRABALHOTOTAL(A192,$B$2,Feriado!$A$1:$L$62)-1</f>
        <v>228</v>
      </c>
      <c r="D192">
        <v>7.76</v>
      </c>
      <c r="E192" s="143">
        <f>_XLL.DIATRABALHOTOTAL(A192,$D$2,Feriado!$A$1:$L$62)-1</f>
        <v>349</v>
      </c>
      <c r="F192">
        <v>8.19</v>
      </c>
      <c r="G192" s="143">
        <f>_XLL.DIATRABALHOTOTAL(A192,$F$2,Feriado!$A$1:$L$62)-1</f>
        <v>480</v>
      </c>
      <c r="H192">
        <v>8.48</v>
      </c>
      <c r="I192" s="143">
        <f>_XLL.DIATRABALHOTOTAL(A192,$H$2,Feriado!$A$1:$L$62)-1</f>
        <v>603</v>
      </c>
      <c r="J192" s="235">
        <v>6.95</v>
      </c>
      <c r="K192" s="235">
        <v>7.11</v>
      </c>
      <c r="L192" s="235">
        <f t="shared" si="4"/>
        <v>1.0002666674920762</v>
      </c>
      <c r="M192" s="235">
        <f t="shared" si="5"/>
        <v>1.0567666298829888</v>
      </c>
      <c r="O192" s="270"/>
      <c r="P192" s="16"/>
    </row>
    <row r="193" spans="1:16" ht="12.75">
      <c r="A193" s="16">
        <v>41313</v>
      </c>
      <c r="B193">
        <v>7.4</v>
      </c>
      <c r="C193" s="143">
        <f>_XLL.DIATRABALHOTOTAL(A193,$B$2,Feriado!$A$1:$L$62)-1</f>
        <v>227</v>
      </c>
      <c r="D193">
        <v>7.73</v>
      </c>
      <c r="E193" s="143">
        <f>_XLL.DIATRABALHOTOTAL(A193,$D$2,Feriado!$A$1:$L$62)-1</f>
        <v>348</v>
      </c>
      <c r="F193">
        <v>8.17</v>
      </c>
      <c r="G193" s="143">
        <f>_XLL.DIATRABALHOTOTAL(A193,$F$2,Feriado!$A$1:$L$62)-1</f>
        <v>479</v>
      </c>
      <c r="H193">
        <v>8.46</v>
      </c>
      <c r="I193" s="143">
        <f>_XLL.DIATRABALHOTOTAL(A193,$H$2,Feriado!$A$1:$L$62)-1</f>
        <v>602</v>
      </c>
      <c r="J193" s="235">
        <v>6.95</v>
      </c>
      <c r="K193" s="235">
        <v>7.11</v>
      </c>
      <c r="L193" s="235">
        <f t="shared" si="4"/>
        <v>1.0002666674920762</v>
      </c>
      <c r="M193" s="235">
        <f t="shared" si="5"/>
        <v>1.0570484351898894</v>
      </c>
      <c r="O193" s="270"/>
      <c r="P193" s="16"/>
    </row>
    <row r="194" spans="1:16" ht="12.75">
      <c r="A194" s="16">
        <v>41318</v>
      </c>
      <c r="B194">
        <v>7.38</v>
      </c>
      <c r="C194" s="143">
        <f>_XLL.DIATRABALHOTOTAL(A194,$B$2,Feriado!$A$1:$L$62)-1</f>
        <v>226</v>
      </c>
      <c r="D194">
        <v>7.7</v>
      </c>
      <c r="E194" s="143">
        <f>_XLL.DIATRABALHOTOTAL(A194,$D$2,Feriado!$A$1:$L$62)-1</f>
        <v>347</v>
      </c>
      <c r="F194">
        <v>8.16</v>
      </c>
      <c r="G194" s="143">
        <f>_XLL.DIATRABALHOTOTAL(A194,$F$2,Feriado!$A$1:$L$62)-1</f>
        <v>478</v>
      </c>
      <c r="H194">
        <v>8.46</v>
      </c>
      <c r="I194" s="143">
        <f>_XLL.DIATRABALHOTOTAL(A194,$H$2,Feriado!$A$1:$L$62)-1</f>
        <v>601</v>
      </c>
      <c r="J194" s="235">
        <v>6.95</v>
      </c>
      <c r="K194" s="235">
        <v>7.11</v>
      </c>
      <c r="L194" s="235">
        <f t="shared" si="4"/>
        <v>1.0002666674920762</v>
      </c>
      <c r="M194" s="235">
        <f t="shared" si="5"/>
        <v>1.0573303156451046</v>
      </c>
      <c r="O194" s="270"/>
      <c r="P194" s="16"/>
    </row>
    <row r="195" spans="1:16" ht="12.75">
      <c r="A195" s="16">
        <v>41319</v>
      </c>
      <c r="B195">
        <v>7.39</v>
      </c>
      <c r="C195" s="143">
        <f>_XLL.DIATRABALHOTOTAL(A195,$B$2,Feriado!$A$1:$L$62)-1</f>
        <v>225</v>
      </c>
      <c r="D195">
        <v>7.73</v>
      </c>
      <c r="E195" s="143">
        <f>_XLL.DIATRABALHOTOTAL(A195,$D$2,Feriado!$A$1:$L$62)-1</f>
        <v>346</v>
      </c>
      <c r="F195">
        <v>8.17</v>
      </c>
      <c r="G195" s="143">
        <f>_XLL.DIATRABALHOTOTAL(A195,$F$2,Feriado!$A$1:$L$62)-1</f>
        <v>477</v>
      </c>
      <c r="H195">
        <v>8.48</v>
      </c>
      <c r="I195" s="143">
        <f>_XLL.DIATRABALHOTOTAL(A195,$H$2,Feriado!$A$1:$L$62)-1</f>
        <v>600</v>
      </c>
      <c r="J195" s="235">
        <v>6.9399999999999995</v>
      </c>
      <c r="K195" s="235">
        <v>7.11</v>
      </c>
      <c r="L195" s="235">
        <f t="shared" si="4"/>
        <v>1.0002662963376099</v>
      </c>
      <c r="M195" s="235">
        <f t="shared" si="5"/>
        <v>1.0576118788358049</v>
      </c>
      <c r="O195" s="270"/>
      <c r="P195" s="16"/>
    </row>
    <row r="196" spans="1:16" ht="12.75">
      <c r="A196" s="16">
        <v>41320</v>
      </c>
      <c r="B196">
        <v>7.62</v>
      </c>
      <c r="C196" s="143">
        <f>_XLL.DIATRABALHOTOTAL(A196,$B$2,Feriado!$A$1:$L$62)-1</f>
        <v>224</v>
      </c>
      <c r="D196">
        <v>7.9399999999999995</v>
      </c>
      <c r="E196" s="143">
        <f>_XLL.DIATRABALHOTOTAL(A196,$D$2,Feriado!$A$1:$L$62)-1</f>
        <v>345</v>
      </c>
      <c r="F196">
        <v>8.29</v>
      </c>
      <c r="G196" s="143">
        <f>_XLL.DIATRABALHOTOTAL(A196,$F$2,Feriado!$A$1:$L$62)-1</f>
        <v>476</v>
      </c>
      <c r="H196">
        <v>8.56</v>
      </c>
      <c r="I196" s="143">
        <f>_XLL.DIATRABALHOTOTAL(A196,$H$2,Feriado!$A$1:$L$62)-1</f>
        <v>599</v>
      </c>
      <c r="J196" s="235">
        <v>6.9399999999999995</v>
      </c>
      <c r="K196" s="235">
        <v>7.11</v>
      </c>
      <c r="L196" s="235">
        <f aca="true" t="shared" si="6" ref="L196:L248">(1+J196/100)^(1/252)</f>
        <v>1.0002662963376099</v>
      </c>
      <c r="M196" s="235">
        <f t="shared" si="5"/>
        <v>1.0578935170057515</v>
      </c>
      <c r="O196" s="270"/>
      <c r="P196" s="16"/>
    </row>
    <row r="197" spans="1:16" ht="12.75">
      <c r="A197" s="16">
        <v>41323</v>
      </c>
      <c r="B197">
        <v>7.73</v>
      </c>
      <c r="C197" s="143">
        <f>_XLL.DIATRABALHOTOTAL(A197,$B$2,Feriado!$A$1:$L$62)-1</f>
        <v>223</v>
      </c>
      <c r="D197">
        <v>8.09</v>
      </c>
      <c r="E197" s="143">
        <f>_XLL.DIATRABALHOTOTAL(A197,$D$2,Feriado!$A$1:$L$62)-1</f>
        <v>344</v>
      </c>
      <c r="F197">
        <v>8.45</v>
      </c>
      <c r="G197" s="143">
        <f>_XLL.DIATRABALHOTOTAL(A197,$F$2,Feriado!$A$1:$L$62)-1</f>
        <v>475</v>
      </c>
      <c r="H197">
        <v>8.69</v>
      </c>
      <c r="I197" s="143">
        <f>_XLL.DIATRABALHOTOTAL(A197,$H$2,Feriado!$A$1:$L$62)-1</f>
        <v>598</v>
      </c>
      <c r="J197" s="235">
        <v>6.9399999999999995</v>
      </c>
      <c r="K197" s="235">
        <v>7.11</v>
      </c>
      <c r="L197" s="235">
        <f t="shared" si="6"/>
        <v>1.0002662963376099</v>
      </c>
      <c r="M197" s="235">
        <f t="shared" si="5"/>
        <v>1.0581752301749114</v>
      </c>
      <c r="O197" s="270"/>
      <c r="P197" s="16"/>
    </row>
    <row r="198" spans="1:16" ht="12.75">
      <c r="A198" s="16">
        <v>41324</v>
      </c>
      <c r="B198">
        <v>7.75</v>
      </c>
      <c r="C198" s="143">
        <f>_XLL.DIATRABALHOTOTAL(A198,$B$2,Feriado!$A$1:$L$62)-1</f>
        <v>222</v>
      </c>
      <c r="D198">
        <v>8.11</v>
      </c>
      <c r="E198" s="143">
        <f>_XLL.DIATRABALHOTOTAL(A198,$D$2,Feriado!$A$1:$L$62)-1</f>
        <v>343</v>
      </c>
      <c r="F198">
        <v>8.45</v>
      </c>
      <c r="G198" s="143">
        <f>_XLL.DIATRABALHOTOTAL(A198,$F$2,Feriado!$A$1:$L$62)-1</f>
        <v>474</v>
      </c>
      <c r="H198">
        <v>8.7</v>
      </c>
      <c r="I198" s="143">
        <f>_XLL.DIATRABALHOTOTAL(A198,$H$2,Feriado!$A$1:$L$62)-1</f>
        <v>597</v>
      </c>
      <c r="J198" s="235">
        <v>6.93</v>
      </c>
      <c r="K198" s="235">
        <v>7.11</v>
      </c>
      <c r="L198" s="235">
        <f t="shared" si="6"/>
        <v>1.000265925148573</v>
      </c>
      <c r="M198" s="235">
        <f aca="true" t="shared" si="7" ref="M198:M248">L198*M197</f>
        <v>1.058456625580212</v>
      </c>
      <c r="O198" s="270"/>
      <c r="P198" s="16"/>
    </row>
    <row r="199" spans="1:16" ht="12.75">
      <c r="A199" s="16">
        <v>41325</v>
      </c>
      <c r="B199">
        <v>7.6899999999999995</v>
      </c>
      <c r="C199" s="143">
        <f>_XLL.DIATRABALHOTOTAL(A199,$B$2,Feriado!$A$1:$L$62)-1</f>
        <v>221</v>
      </c>
      <c r="D199">
        <v>8.04</v>
      </c>
      <c r="E199" s="143">
        <f>_XLL.DIATRABALHOTOTAL(A199,$D$2,Feriado!$A$1:$L$62)-1</f>
        <v>342</v>
      </c>
      <c r="F199">
        <v>8.39</v>
      </c>
      <c r="G199" s="143">
        <f>_XLL.DIATRABALHOTOTAL(A199,$F$2,Feriado!$A$1:$L$62)-1</f>
        <v>473</v>
      </c>
      <c r="H199">
        <v>8.64</v>
      </c>
      <c r="I199" s="143">
        <f>_XLL.DIATRABALHOTOTAL(A199,$H$2,Feriado!$A$1:$L$62)-1</f>
        <v>596</v>
      </c>
      <c r="J199" s="235">
        <v>6.95</v>
      </c>
      <c r="K199" s="235">
        <v>7.11</v>
      </c>
      <c r="L199" s="235">
        <f t="shared" si="6"/>
        <v>1.0002666674920762</v>
      </c>
      <c r="M199" s="235">
        <f t="shared" si="7"/>
        <v>1.0587388815540268</v>
      </c>
      <c r="O199" s="270"/>
      <c r="P199" s="16"/>
    </row>
    <row r="200" spans="1:16" ht="12.75">
      <c r="A200" s="16">
        <v>41326</v>
      </c>
      <c r="B200">
        <v>7.67</v>
      </c>
      <c r="C200" s="143">
        <f>_XLL.DIATRABALHOTOTAL(A200,$B$2,Feriado!$A$1:$L$62)-1</f>
        <v>220</v>
      </c>
      <c r="D200">
        <v>8</v>
      </c>
      <c r="E200" s="143">
        <f>_XLL.DIATRABALHOTOTAL(A200,$D$2,Feriado!$A$1:$L$62)-1</f>
        <v>341</v>
      </c>
      <c r="F200">
        <v>8.36</v>
      </c>
      <c r="G200" s="143">
        <f>_XLL.DIATRABALHOTOTAL(A200,$F$2,Feriado!$A$1:$L$62)-1</f>
        <v>472</v>
      </c>
      <c r="H200">
        <v>8.63</v>
      </c>
      <c r="I200" s="143">
        <f>_XLL.DIATRABALHOTOTAL(A200,$H$2,Feriado!$A$1:$L$62)-1</f>
        <v>595</v>
      </c>
      <c r="J200" s="235">
        <v>6.95</v>
      </c>
      <c r="K200" s="235">
        <v>7.11</v>
      </c>
      <c r="L200" s="235">
        <f t="shared" si="6"/>
        <v>1.0002666674920762</v>
      </c>
      <c r="M200" s="235">
        <f t="shared" si="7"/>
        <v>1.0590212127963343</v>
      </c>
      <c r="O200" s="270"/>
      <c r="P200" s="16"/>
    </row>
    <row r="201" spans="1:16" ht="12.75">
      <c r="A201" s="16">
        <v>41327</v>
      </c>
      <c r="B201">
        <v>7.83</v>
      </c>
      <c r="C201" s="143">
        <f>_XLL.DIATRABALHOTOTAL(A201,$B$2,Feriado!$A$1:$L$62)-1</f>
        <v>219</v>
      </c>
      <c r="D201">
        <v>8.16</v>
      </c>
      <c r="E201" s="143">
        <f>_XLL.DIATRABALHOTOTAL(A201,$D$2,Feriado!$A$1:$L$62)-1</f>
        <v>340</v>
      </c>
      <c r="F201">
        <v>8.51</v>
      </c>
      <c r="G201" s="143">
        <f>_XLL.DIATRABALHOTOTAL(A201,$F$2,Feriado!$A$1:$L$62)-1</f>
        <v>471</v>
      </c>
      <c r="H201">
        <v>8.76</v>
      </c>
      <c r="I201" s="143">
        <f>_XLL.DIATRABALHOTOTAL(A201,$H$2,Feriado!$A$1:$L$62)-1</f>
        <v>594</v>
      </c>
      <c r="J201" s="235">
        <v>6.96</v>
      </c>
      <c r="K201" s="235">
        <v>7.11</v>
      </c>
      <c r="L201" s="235">
        <f t="shared" si="6"/>
        <v>1.0002670386119783</v>
      </c>
      <c r="M201" s="235">
        <f t="shared" si="7"/>
        <v>1.059304012351055</v>
      </c>
      <c r="O201" s="270"/>
      <c r="P201" s="16"/>
    </row>
    <row r="202" spans="1:16" ht="12.75">
      <c r="A202" s="16">
        <v>41330</v>
      </c>
      <c r="B202">
        <v>7.8</v>
      </c>
      <c r="C202" s="143">
        <f>_XLL.DIATRABALHOTOTAL(A202,$B$2,Feriado!$A$1:$L$62)-1</f>
        <v>218</v>
      </c>
      <c r="D202">
        <v>8.12</v>
      </c>
      <c r="E202" s="143">
        <f>_XLL.DIATRABALHOTOTAL(A202,$D$2,Feriado!$A$1:$L$62)-1</f>
        <v>339</v>
      </c>
      <c r="F202">
        <v>8.47</v>
      </c>
      <c r="G202" s="143">
        <f>_XLL.DIATRABALHOTOTAL(A202,$F$2,Feriado!$A$1:$L$62)-1</f>
        <v>470</v>
      </c>
      <c r="H202">
        <v>8.71</v>
      </c>
      <c r="I202" s="143">
        <f>_XLL.DIATRABALHOTOTAL(A202,$H$2,Feriado!$A$1:$L$62)-1</f>
        <v>593</v>
      </c>
      <c r="J202" s="235">
        <v>7</v>
      </c>
      <c r="K202" s="235">
        <v>7.11</v>
      </c>
      <c r="L202" s="235">
        <f t="shared" si="6"/>
        <v>1.0002685227460728</v>
      </c>
      <c r="M202" s="235">
        <f t="shared" si="7"/>
        <v>1.0595884595733776</v>
      </c>
      <c r="O202" s="270"/>
      <c r="P202" s="16"/>
    </row>
    <row r="203" spans="1:16" ht="12.75">
      <c r="A203" s="16">
        <v>41331</v>
      </c>
      <c r="B203">
        <v>7.8100000000000005</v>
      </c>
      <c r="C203" s="143">
        <f>_XLL.DIATRABALHOTOTAL(A203,$B$2,Feriado!$A$1:$L$62)-1</f>
        <v>217</v>
      </c>
      <c r="D203">
        <v>8.11</v>
      </c>
      <c r="E203" s="143">
        <f>_XLL.DIATRABALHOTOTAL(A203,$D$2,Feriado!$A$1:$L$62)-1</f>
        <v>338</v>
      </c>
      <c r="F203">
        <v>8.45</v>
      </c>
      <c r="G203" s="143">
        <f>_XLL.DIATRABALHOTOTAL(A203,$F$2,Feriado!$A$1:$L$62)-1</f>
        <v>469</v>
      </c>
      <c r="H203">
        <v>8.7</v>
      </c>
      <c r="I203" s="143">
        <f>_XLL.DIATRABALHOTOTAL(A203,$H$2,Feriado!$A$1:$L$62)-1</f>
        <v>592</v>
      </c>
      <c r="J203" s="235">
        <v>6.98</v>
      </c>
      <c r="K203" s="235">
        <v>7.18</v>
      </c>
      <c r="L203" s="235">
        <f t="shared" si="6"/>
        <v>1.0002677807481153</v>
      </c>
      <c r="M203" s="235">
        <f t="shared" si="7"/>
        <v>1.0598721969637763</v>
      </c>
      <c r="O203" s="270"/>
      <c r="P203" s="16"/>
    </row>
    <row r="204" spans="1:16" ht="12.75">
      <c r="A204" s="16">
        <v>41332</v>
      </c>
      <c r="B204">
        <v>7.75</v>
      </c>
      <c r="C204" s="143">
        <f>_XLL.DIATRABALHOTOTAL(A204,$B$2,Feriado!$A$1:$L$62)-1</f>
        <v>216</v>
      </c>
      <c r="D204">
        <v>8.06</v>
      </c>
      <c r="E204" s="143">
        <f>_XLL.DIATRABALHOTOTAL(A204,$D$2,Feriado!$A$1:$L$62)-1</f>
        <v>337</v>
      </c>
      <c r="F204">
        <v>8.4</v>
      </c>
      <c r="G204" s="143">
        <f>_XLL.DIATRABALHOTOTAL(A204,$F$2,Feriado!$A$1:$L$62)-1</f>
        <v>468</v>
      </c>
      <c r="H204">
        <v>8.65</v>
      </c>
      <c r="I204" s="143">
        <f>_XLL.DIATRABALHOTOTAL(A204,$H$2,Feriado!$A$1:$L$62)-1</f>
        <v>591</v>
      </c>
      <c r="J204" s="235">
        <v>6.98</v>
      </c>
      <c r="K204" s="235">
        <v>7.2</v>
      </c>
      <c r="L204" s="235">
        <f t="shared" si="6"/>
        <v>1.0002677807481153</v>
      </c>
      <c r="M204" s="235">
        <f t="shared" si="7"/>
        <v>1.0601560103335859</v>
      </c>
      <c r="O204" s="270"/>
      <c r="P204" s="16"/>
    </row>
    <row r="205" spans="1:16" ht="12.75">
      <c r="A205" s="16">
        <v>41333</v>
      </c>
      <c r="B205">
        <v>7.6899999999999995</v>
      </c>
      <c r="C205" s="143">
        <f>_XLL.DIATRABALHOTOTAL(A205,$B$2,Feriado!$A$1:$L$62)-1</f>
        <v>215</v>
      </c>
      <c r="D205">
        <v>8</v>
      </c>
      <c r="E205" s="143">
        <f>_XLL.DIATRABALHOTOTAL(A205,$D$2,Feriado!$A$1:$L$62)-1</f>
        <v>336</v>
      </c>
      <c r="F205">
        <v>8.36</v>
      </c>
      <c r="G205" s="143">
        <f>_XLL.DIATRABALHOTOTAL(A205,$F$2,Feriado!$A$1:$L$62)-1</f>
        <v>467</v>
      </c>
      <c r="H205">
        <v>8.61</v>
      </c>
      <c r="I205" s="143">
        <f>_XLL.DIATRABALHOTOTAL(A205,$H$2,Feriado!$A$1:$L$62)-1</f>
        <v>590</v>
      </c>
      <c r="J205" s="235">
        <v>6.98</v>
      </c>
      <c r="K205" s="235">
        <v>7.2</v>
      </c>
      <c r="L205" s="235">
        <f t="shared" si="6"/>
        <v>1.0002677807481153</v>
      </c>
      <c r="M205" s="235">
        <f t="shared" si="7"/>
        <v>1.060439899703152</v>
      </c>
      <c r="O205" s="270"/>
      <c r="P205" s="16"/>
    </row>
    <row r="206" spans="1:16" ht="12.75">
      <c r="A206" s="16">
        <v>41334</v>
      </c>
      <c r="B206">
        <v>7.62</v>
      </c>
      <c r="C206" s="143">
        <f>_XLL.DIATRABALHOTOTAL(A206,$B$2,Feriado!$A$1:$L$62)-1</f>
        <v>214</v>
      </c>
      <c r="D206">
        <v>7.93</v>
      </c>
      <c r="E206" s="143">
        <f>_XLL.DIATRABALHOTOTAL(A206,$D$2,Feriado!$A$1:$L$62)-1</f>
        <v>335</v>
      </c>
      <c r="F206">
        <v>8.3</v>
      </c>
      <c r="G206" s="143">
        <f>_XLL.DIATRABALHOTOTAL(A206,$F$2,Feriado!$A$1:$L$62)-1</f>
        <v>466</v>
      </c>
      <c r="H206">
        <v>8.54</v>
      </c>
      <c r="I206" s="143">
        <f>_XLL.DIATRABALHOTOTAL(A206,$H$2,Feriado!$A$1:$L$62)-1</f>
        <v>589</v>
      </c>
      <c r="J206" s="235">
        <v>6.98</v>
      </c>
      <c r="K206" s="235">
        <v>7.14</v>
      </c>
      <c r="L206" s="235">
        <f t="shared" si="6"/>
        <v>1.0002677807481153</v>
      </c>
      <c r="M206" s="235">
        <f t="shared" si="7"/>
        <v>1.0607238650928257</v>
      </c>
      <c r="O206" s="270"/>
      <c r="P206" s="16"/>
    </row>
    <row r="207" spans="1:16" ht="12.75">
      <c r="A207" s="16">
        <v>41337</v>
      </c>
      <c r="B207">
        <v>7.64</v>
      </c>
      <c r="C207" s="143">
        <f>_XLL.DIATRABALHOTOTAL(A207,$B$2,Feriado!$A$1:$L$62)-1</f>
        <v>213</v>
      </c>
      <c r="D207">
        <v>7.96</v>
      </c>
      <c r="E207" s="143">
        <f>_XLL.DIATRABALHOTOTAL(A207,$D$2,Feriado!$A$1:$L$62)-1</f>
        <v>334</v>
      </c>
      <c r="F207">
        <v>8.33</v>
      </c>
      <c r="G207" s="143">
        <f>_XLL.DIATRABALHOTOTAL(A207,$F$2,Feriado!$A$1:$L$62)-1</f>
        <v>465</v>
      </c>
      <c r="H207">
        <v>8.57</v>
      </c>
      <c r="I207" s="143">
        <f>_XLL.DIATRABALHOTOTAL(A207,$H$2,Feriado!$A$1:$L$62)-1</f>
        <v>588</v>
      </c>
      <c r="J207" s="235">
        <v>6.99</v>
      </c>
      <c r="K207" s="235">
        <v>7.12</v>
      </c>
      <c r="L207" s="235">
        <f t="shared" si="6"/>
        <v>1.0002681517643632</v>
      </c>
      <c r="M207" s="235">
        <f t="shared" si="7"/>
        <v>1.0610083000687525</v>
      </c>
      <c r="O207" s="270"/>
      <c r="P207" s="16"/>
    </row>
    <row r="208" spans="1:16" ht="12.75">
      <c r="A208" s="16">
        <v>41338</v>
      </c>
      <c r="B208">
        <v>7.67</v>
      </c>
      <c r="C208" s="143">
        <f>_XLL.DIATRABALHOTOTAL(A208,$B$2,Feriado!$A$1:$L$62)-1</f>
        <v>212</v>
      </c>
      <c r="D208">
        <v>7.99</v>
      </c>
      <c r="E208" s="143">
        <f>_XLL.DIATRABALHOTOTAL(A208,$D$2,Feriado!$A$1:$L$62)-1</f>
        <v>333</v>
      </c>
      <c r="F208">
        <v>8.33</v>
      </c>
      <c r="G208" s="143">
        <f>_XLL.DIATRABALHOTOTAL(A208,$F$2,Feriado!$A$1:$L$62)-1</f>
        <v>464</v>
      </c>
      <c r="H208">
        <v>8.56</v>
      </c>
      <c r="I208" s="143">
        <f>_XLL.DIATRABALHOTOTAL(A208,$H$2,Feriado!$A$1:$L$62)-1</f>
        <v>587</v>
      </c>
      <c r="J208" s="235">
        <v>6.99</v>
      </c>
      <c r="K208" s="235">
        <v>7.12</v>
      </c>
      <c r="L208" s="235">
        <f t="shared" si="6"/>
        <v>1.0002681517643632</v>
      </c>
      <c r="M208" s="235">
        <f t="shared" si="7"/>
        <v>1.06129281131642</v>
      </c>
      <c r="O208" s="270"/>
      <c r="P208" s="16"/>
    </row>
    <row r="209" spans="1:16" ht="12.75">
      <c r="A209" s="16">
        <v>41339</v>
      </c>
      <c r="B209">
        <v>7.67</v>
      </c>
      <c r="C209" s="143">
        <f>_XLL.DIATRABALHOTOTAL(A209,$B$2,Feriado!$A$1:$L$62)-1</f>
        <v>211</v>
      </c>
      <c r="D209">
        <v>7.99</v>
      </c>
      <c r="E209" s="143">
        <f>_XLL.DIATRABALHOTOTAL(A209,$D$2,Feriado!$A$1:$L$62)-1</f>
        <v>332</v>
      </c>
      <c r="F209">
        <v>8.35</v>
      </c>
      <c r="G209" s="143">
        <f>_XLL.DIATRABALHOTOTAL(A209,$F$2,Feriado!$A$1:$L$62)-1</f>
        <v>463</v>
      </c>
      <c r="H209">
        <v>8.58</v>
      </c>
      <c r="I209" s="143">
        <f>_XLL.DIATRABALHOTOTAL(A209,$H$2,Feriado!$A$1:$L$62)-1</f>
        <v>586</v>
      </c>
      <c r="J209" s="235">
        <v>6.99</v>
      </c>
      <c r="K209" s="235">
        <v>7.14</v>
      </c>
      <c r="L209" s="235">
        <f t="shared" si="6"/>
        <v>1.0002681517643632</v>
      </c>
      <c r="M209" s="235">
        <f t="shared" si="7"/>
        <v>1.0615773988562804</v>
      </c>
      <c r="O209" s="270"/>
      <c r="P209" s="16"/>
    </row>
    <row r="210" spans="1:16" ht="12.75">
      <c r="A210" s="16">
        <v>41340</v>
      </c>
      <c r="B210">
        <v>7.79</v>
      </c>
      <c r="C210" s="143">
        <f>_XLL.DIATRABALHOTOTAL(A210,$B$2,Feriado!$A$1:$L$62)-1</f>
        <v>210</v>
      </c>
      <c r="D210">
        <v>8.12</v>
      </c>
      <c r="E210" s="143">
        <f>_XLL.DIATRABALHOTOTAL(A210,$D$2,Feriado!$A$1:$L$62)-1</f>
        <v>331</v>
      </c>
      <c r="F210">
        <v>8.48</v>
      </c>
      <c r="G210" s="143">
        <f>_XLL.DIATRABALHOTOTAL(A210,$F$2,Feriado!$A$1:$L$62)-1</f>
        <v>462</v>
      </c>
      <c r="H210">
        <v>8.71</v>
      </c>
      <c r="I210" s="143">
        <f>_XLL.DIATRABALHOTOTAL(A210,$H$2,Feriado!$A$1:$L$62)-1</f>
        <v>585</v>
      </c>
      <c r="J210" s="235">
        <v>6.99</v>
      </c>
      <c r="K210" s="235">
        <v>7.12</v>
      </c>
      <c r="L210" s="235">
        <f t="shared" si="6"/>
        <v>1.0002681517643632</v>
      </c>
      <c r="M210" s="235">
        <f t="shared" si="7"/>
        <v>1.0618620627087918</v>
      </c>
      <c r="O210" s="270"/>
      <c r="P210" s="16"/>
    </row>
    <row r="211" spans="1:16" ht="12.75">
      <c r="A211" s="16">
        <v>41341</v>
      </c>
      <c r="B211">
        <v>7.96</v>
      </c>
      <c r="C211" s="143">
        <f>_XLL.DIATRABALHOTOTAL(A211,$B$2,Feriado!$A$1:$L$62)-1</f>
        <v>209</v>
      </c>
      <c r="D211">
        <v>8.32</v>
      </c>
      <c r="E211" s="143">
        <f>_XLL.DIATRABALHOTOTAL(A211,$D$2,Feriado!$A$1:$L$62)-1</f>
        <v>330</v>
      </c>
      <c r="F211">
        <v>8.66</v>
      </c>
      <c r="G211" s="143">
        <f>_XLL.DIATRABALHOTOTAL(A211,$F$2,Feriado!$A$1:$L$62)-1</f>
        <v>461</v>
      </c>
      <c r="H211">
        <v>8.88</v>
      </c>
      <c r="I211" s="143">
        <f>_XLL.DIATRABALHOTOTAL(A211,$H$2,Feriado!$A$1:$L$62)-1</f>
        <v>584</v>
      </c>
      <c r="J211" s="235">
        <v>6.99</v>
      </c>
      <c r="K211" s="235">
        <v>7.13</v>
      </c>
      <c r="L211" s="235">
        <f t="shared" si="6"/>
        <v>1.0002681517643632</v>
      </c>
      <c r="M211" s="235">
        <f t="shared" si="7"/>
        <v>1.0621468028944177</v>
      </c>
      <c r="O211" s="270"/>
      <c r="P211" s="16"/>
    </row>
    <row r="212" spans="1:16" ht="12.75">
      <c r="A212" s="16">
        <v>41344</v>
      </c>
      <c r="B212">
        <v>7.85</v>
      </c>
      <c r="C212" s="143">
        <f>_XLL.DIATRABALHOTOTAL(A212,$B$2,Feriado!$A$1:$L$62)-1</f>
        <v>208</v>
      </c>
      <c r="D212">
        <v>8.21</v>
      </c>
      <c r="E212" s="143">
        <f>_XLL.DIATRABALHOTOTAL(A212,$D$2,Feriado!$A$1:$L$62)-1</f>
        <v>329</v>
      </c>
      <c r="F212">
        <v>8.56</v>
      </c>
      <c r="G212" s="143">
        <f>_XLL.DIATRABALHOTOTAL(A212,$F$2,Feriado!$A$1:$L$62)-1</f>
        <v>460</v>
      </c>
      <c r="H212">
        <v>8.81</v>
      </c>
      <c r="I212" s="143">
        <f>_XLL.DIATRABALHOTOTAL(A212,$H$2,Feriado!$A$1:$L$62)-1</f>
        <v>583</v>
      </c>
      <c r="J212" s="235">
        <v>6.99</v>
      </c>
      <c r="K212" s="235">
        <v>7.13</v>
      </c>
      <c r="L212" s="235">
        <f t="shared" si="6"/>
        <v>1.0002681517643632</v>
      </c>
      <c r="M212" s="235">
        <f t="shared" si="7"/>
        <v>1.0624316194336265</v>
      </c>
      <c r="O212" s="270"/>
      <c r="P212" s="16"/>
    </row>
    <row r="213" spans="1:16" ht="12.75">
      <c r="A213" s="16">
        <v>41345</v>
      </c>
      <c r="B213">
        <v>7.91</v>
      </c>
      <c r="C213" s="143">
        <f>_XLL.DIATRABALHOTOTAL(A213,$B$2,Feriado!$A$1:$L$62)-1</f>
        <v>207</v>
      </c>
      <c r="D213">
        <v>8.28</v>
      </c>
      <c r="E213" s="143">
        <f>_XLL.DIATRABALHOTOTAL(A213,$D$2,Feriado!$A$1:$L$62)-1</f>
        <v>328</v>
      </c>
      <c r="F213">
        <v>8.62</v>
      </c>
      <c r="G213" s="143">
        <f>_XLL.DIATRABALHOTOTAL(A213,$F$2,Feriado!$A$1:$L$62)-1</f>
        <v>459</v>
      </c>
      <c r="H213">
        <v>8.87</v>
      </c>
      <c r="I213" s="143">
        <f>_XLL.DIATRABALHOTOTAL(A213,$H$2,Feriado!$A$1:$L$62)-1</f>
        <v>582</v>
      </c>
      <c r="J213" s="235">
        <v>6.99</v>
      </c>
      <c r="K213" s="235">
        <v>7.14</v>
      </c>
      <c r="L213" s="235">
        <f t="shared" si="6"/>
        <v>1.0002681517643632</v>
      </c>
      <c r="M213" s="235">
        <f t="shared" si="7"/>
        <v>1.062716512346893</v>
      </c>
      <c r="O213" s="270"/>
      <c r="P213" s="16"/>
    </row>
    <row r="214" spans="1:16" ht="12.75">
      <c r="A214" s="16">
        <v>41346</v>
      </c>
      <c r="B214">
        <v>7.96</v>
      </c>
      <c r="C214" s="143">
        <f>_XLL.DIATRABALHOTOTAL(A214,$B$2,Feriado!$A$1:$L$62)-1</f>
        <v>206</v>
      </c>
      <c r="D214">
        <v>8.34</v>
      </c>
      <c r="E214" s="143">
        <f>_XLL.DIATRABALHOTOTAL(A214,$D$2,Feriado!$A$1:$L$62)-1</f>
        <v>327</v>
      </c>
      <c r="F214">
        <v>8.7</v>
      </c>
      <c r="G214" s="143">
        <f>_XLL.DIATRABALHOTOTAL(A214,$F$2,Feriado!$A$1:$L$62)-1</f>
        <v>458</v>
      </c>
      <c r="H214">
        <v>8.94</v>
      </c>
      <c r="I214" s="143">
        <f>_XLL.DIATRABALHOTOTAL(A214,$H$2,Feriado!$A$1:$L$62)-1</f>
        <v>581</v>
      </c>
      <c r="J214" s="235">
        <v>6.99</v>
      </c>
      <c r="K214" s="235">
        <v>7.15</v>
      </c>
      <c r="L214" s="235">
        <f t="shared" si="6"/>
        <v>1.0002681517643632</v>
      </c>
      <c r="M214" s="235">
        <f t="shared" si="7"/>
        <v>1.0630014816546967</v>
      </c>
      <c r="O214" s="270"/>
      <c r="P214" s="16"/>
    </row>
    <row r="215" spans="1:16" ht="12.75">
      <c r="A215" s="16">
        <v>41347</v>
      </c>
      <c r="B215">
        <v>7.84</v>
      </c>
      <c r="C215" s="143">
        <f>_XLL.DIATRABALHOTOTAL(A215,$B$2,Feriado!$A$1:$L$62)-1</f>
        <v>205</v>
      </c>
      <c r="D215">
        <v>8.26</v>
      </c>
      <c r="E215" s="143">
        <f>_XLL.DIATRABALHOTOTAL(A215,$D$2,Feriado!$A$1:$L$62)-1</f>
        <v>326</v>
      </c>
      <c r="F215">
        <v>8.62</v>
      </c>
      <c r="G215" s="143">
        <f>_XLL.DIATRABALHOTOTAL(A215,$F$2,Feriado!$A$1:$L$62)-1</f>
        <v>457</v>
      </c>
      <c r="H215">
        <v>8.89</v>
      </c>
      <c r="I215" s="143">
        <f>_XLL.DIATRABALHOTOTAL(A215,$H$2,Feriado!$A$1:$L$62)-1</f>
        <v>580</v>
      </c>
      <c r="J215" s="235">
        <v>6.99</v>
      </c>
      <c r="K215" s="235">
        <v>7.16</v>
      </c>
      <c r="L215" s="235">
        <f t="shared" si="6"/>
        <v>1.0002681517643632</v>
      </c>
      <c r="M215" s="235">
        <f t="shared" si="7"/>
        <v>1.0632865273775232</v>
      </c>
      <c r="O215" s="270"/>
      <c r="P215" s="16"/>
    </row>
    <row r="216" spans="1:16" ht="12.75">
      <c r="A216" s="16">
        <v>41348</v>
      </c>
      <c r="B216">
        <v>7.84</v>
      </c>
      <c r="C216" s="143">
        <f>_XLL.DIATRABALHOTOTAL(A216,$B$2,Feriado!$A$1:$L$62)-1</f>
        <v>204</v>
      </c>
      <c r="D216">
        <v>8.22</v>
      </c>
      <c r="E216" s="143">
        <f>_XLL.DIATRABALHOTOTAL(A216,$D$2,Feriado!$A$1:$L$62)-1</f>
        <v>325</v>
      </c>
      <c r="F216">
        <v>8.58</v>
      </c>
      <c r="G216" s="143">
        <f>_XLL.DIATRABALHOTOTAL(A216,$F$2,Feriado!$A$1:$L$62)-1</f>
        <v>456</v>
      </c>
      <c r="H216">
        <v>8.83</v>
      </c>
      <c r="I216" s="143">
        <f>_XLL.DIATRABALHOTOTAL(A216,$H$2,Feriado!$A$1:$L$62)-1</f>
        <v>579</v>
      </c>
      <c r="J216" s="235">
        <v>6.99</v>
      </c>
      <c r="K216" s="235">
        <v>7.16</v>
      </c>
      <c r="L216" s="235">
        <f t="shared" si="6"/>
        <v>1.0002681517643632</v>
      </c>
      <c r="M216" s="235">
        <f t="shared" si="7"/>
        <v>1.0635716495358631</v>
      </c>
      <c r="O216" s="270"/>
      <c r="P216" s="16"/>
    </row>
    <row r="217" spans="1:16" ht="12.75">
      <c r="A217" s="16">
        <v>41351</v>
      </c>
      <c r="B217">
        <v>7.84</v>
      </c>
      <c r="C217" s="143">
        <f>_XLL.DIATRABALHOTOTAL(A217,$B$2,Feriado!$A$1:$L$62)-1</f>
        <v>203</v>
      </c>
      <c r="D217">
        <v>8.21</v>
      </c>
      <c r="E217" s="143">
        <f>_XLL.DIATRABALHOTOTAL(A217,$D$2,Feriado!$A$1:$L$62)-1</f>
        <v>324</v>
      </c>
      <c r="F217">
        <v>8.57</v>
      </c>
      <c r="G217" s="143">
        <f>_XLL.DIATRABALHOTOTAL(A217,$F$2,Feriado!$A$1:$L$62)-1</f>
        <v>455</v>
      </c>
      <c r="H217">
        <v>8.84</v>
      </c>
      <c r="I217" s="143">
        <f>_XLL.DIATRABALHOTOTAL(A217,$H$2,Feriado!$A$1:$L$62)-1</f>
        <v>578</v>
      </c>
      <c r="J217" s="235">
        <v>6.99</v>
      </c>
      <c r="K217" s="235">
        <v>7.16</v>
      </c>
      <c r="L217" s="235">
        <f t="shared" si="6"/>
        <v>1.0002681517643632</v>
      </c>
      <c r="M217" s="235">
        <f t="shared" si="7"/>
        <v>1.0638568481502129</v>
      </c>
      <c r="O217" s="270"/>
      <c r="P217" s="16"/>
    </row>
    <row r="218" spans="1:16" ht="12.75">
      <c r="A218" s="16">
        <v>41352</v>
      </c>
      <c r="B218">
        <v>7.8100000000000005</v>
      </c>
      <c r="C218" s="143">
        <f>_XLL.DIATRABALHOTOTAL(A218,$B$2,Feriado!$A$1:$L$62)-1</f>
        <v>202</v>
      </c>
      <c r="D218">
        <v>8.18</v>
      </c>
      <c r="E218" s="143">
        <f>_XLL.DIATRABALHOTOTAL(A218,$D$2,Feriado!$A$1:$L$62)-1</f>
        <v>323</v>
      </c>
      <c r="F218">
        <v>8.53</v>
      </c>
      <c r="G218" s="143">
        <f>_XLL.DIATRABALHOTOTAL(A218,$F$2,Feriado!$A$1:$L$62)-1</f>
        <v>454</v>
      </c>
      <c r="H218">
        <v>8.8</v>
      </c>
      <c r="I218" s="143">
        <f>_XLL.DIATRABALHOTOTAL(A218,$H$2,Feriado!$A$1:$L$62)-1</f>
        <v>577</v>
      </c>
      <c r="J218" s="235">
        <v>6.99</v>
      </c>
      <c r="K218" s="235">
        <v>7.16</v>
      </c>
      <c r="L218" s="235">
        <f t="shared" si="6"/>
        <v>1.0002681517643632</v>
      </c>
      <c r="M218" s="235">
        <f t="shared" si="7"/>
        <v>1.0641421232410742</v>
      </c>
      <c r="O218" s="270"/>
      <c r="P218" s="16"/>
    </row>
    <row r="219" spans="1:16" ht="12.75">
      <c r="A219" s="16">
        <v>41353</v>
      </c>
      <c r="B219">
        <v>7.8100000000000005</v>
      </c>
      <c r="C219" s="143">
        <f>_XLL.DIATRABALHOTOTAL(A219,$B$2,Feriado!$A$1:$L$62)-1</f>
        <v>201</v>
      </c>
      <c r="D219">
        <v>8.18</v>
      </c>
      <c r="E219" s="143">
        <f>_XLL.DIATRABALHOTOTAL(A219,$D$2,Feriado!$A$1:$L$62)-1</f>
        <v>322</v>
      </c>
      <c r="F219">
        <v>8.54</v>
      </c>
      <c r="G219" s="143">
        <f>_XLL.DIATRABALHOTOTAL(A219,$F$2,Feriado!$A$1:$L$62)-1</f>
        <v>453</v>
      </c>
      <c r="H219">
        <v>8.81</v>
      </c>
      <c r="I219" s="143">
        <f>_XLL.DIATRABALHOTOTAL(A219,$H$2,Feriado!$A$1:$L$62)-1</f>
        <v>576</v>
      </c>
      <c r="J219" s="235">
        <v>6.99</v>
      </c>
      <c r="K219" s="235">
        <v>7.16</v>
      </c>
      <c r="L219" s="235">
        <f t="shared" si="6"/>
        <v>1.0002681517643632</v>
      </c>
      <c r="M219" s="235">
        <f t="shared" si="7"/>
        <v>1.0644274748289544</v>
      </c>
      <c r="O219" s="270"/>
      <c r="P219" s="16"/>
    </row>
    <row r="220" spans="1:16" ht="12.75">
      <c r="A220" s="16">
        <v>41354</v>
      </c>
      <c r="B220">
        <v>7.84</v>
      </c>
      <c r="C220" s="143">
        <f>_XLL.DIATRABALHOTOTAL(A220,$B$2,Feriado!$A$1:$L$62)-1</f>
        <v>200</v>
      </c>
      <c r="D220">
        <v>8.25</v>
      </c>
      <c r="E220" s="143">
        <f>_XLL.DIATRABALHOTOTAL(A220,$D$2,Feriado!$A$1:$L$62)-1</f>
        <v>321</v>
      </c>
      <c r="F220">
        <v>8.59</v>
      </c>
      <c r="G220" s="143">
        <f>_XLL.DIATRABALHOTOTAL(A220,$F$2,Feriado!$A$1:$L$62)-1</f>
        <v>452</v>
      </c>
      <c r="H220">
        <v>8.88</v>
      </c>
      <c r="I220" s="143">
        <f>_XLL.DIATRABALHOTOTAL(A220,$H$2,Feriado!$A$1:$L$62)-1</f>
        <v>575</v>
      </c>
      <c r="J220" s="235">
        <v>6.99</v>
      </c>
      <c r="K220" s="235">
        <v>7.16</v>
      </c>
      <c r="L220" s="235">
        <f t="shared" si="6"/>
        <v>1.0002681517643632</v>
      </c>
      <c r="M220" s="235">
        <f t="shared" si="7"/>
        <v>1.0647129029343665</v>
      </c>
      <c r="O220" s="270"/>
      <c r="P220" s="16"/>
    </row>
    <row r="221" spans="1:16" ht="12.75">
      <c r="A221" s="16">
        <v>41355</v>
      </c>
      <c r="B221">
        <v>7.77</v>
      </c>
      <c r="C221" s="143">
        <f>_XLL.DIATRABALHOTOTAL(A221,$B$2,Feriado!$A$1:$L$62)-1</f>
        <v>199</v>
      </c>
      <c r="D221">
        <v>8.16</v>
      </c>
      <c r="E221" s="143">
        <f>_XLL.DIATRABALHOTOTAL(A221,$D$2,Feriado!$A$1:$L$62)-1</f>
        <v>320</v>
      </c>
      <c r="F221">
        <v>8.52</v>
      </c>
      <c r="G221" s="143">
        <f>_XLL.DIATRABALHOTOTAL(A221,$F$2,Feriado!$A$1:$L$62)-1</f>
        <v>451</v>
      </c>
      <c r="H221">
        <v>8.81</v>
      </c>
      <c r="I221" s="143">
        <f>_XLL.DIATRABALHOTOTAL(A221,$H$2,Feriado!$A$1:$L$62)-1</f>
        <v>574</v>
      </c>
      <c r="J221" s="235">
        <v>6.99</v>
      </c>
      <c r="K221" s="235">
        <v>7.16</v>
      </c>
      <c r="L221" s="235">
        <f t="shared" si="6"/>
        <v>1.0002681517643632</v>
      </c>
      <c r="M221" s="235">
        <f t="shared" si="7"/>
        <v>1.0649984075778287</v>
      </c>
      <c r="O221" s="270"/>
      <c r="P221" s="16"/>
    </row>
    <row r="222" spans="1:16" ht="12.75">
      <c r="A222" s="16">
        <v>41358</v>
      </c>
      <c r="B222">
        <v>7.78</v>
      </c>
      <c r="C222" s="143">
        <f>_XLL.DIATRABALHOTOTAL(A222,$B$2,Feriado!$A$1:$L$62)-1</f>
        <v>198</v>
      </c>
      <c r="D222">
        <v>8.14</v>
      </c>
      <c r="E222" s="143">
        <f>_XLL.DIATRABALHOTOTAL(A222,$D$2,Feriado!$A$1:$L$62)-1</f>
        <v>319</v>
      </c>
      <c r="F222">
        <v>8.51</v>
      </c>
      <c r="G222" s="143">
        <f>_XLL.DIATRABALHOTOTAL(A222,$F$2,Feriado!$A$1:$L$62)-1</f>
        <v>450</v>
      </c>
      <c r="H222">
        <v>8.78</v>
      </c>
      <c r="I222" s="143">
        <f>_XLL.DIATRABALHOTOTAL(A222,$H$2,Feriado!$A$1:$L$62)-1</f>
        <v>573</v>
      </c>
      <c r="J222" s="235">
        <v>6.99</v>
      </c>
      <c r="K222" s="235">
        <v>7.16</v>
      </c>
      <c r="L222" s="235">
        <f t="shared" si="6"/>
        <v>1.0002681517643632</v>
      </c>
      <c r="M222" s="235">
        <f t="shared" si="7"/>
        <v>1.0652839887798646</v>
      </c>
      <c r="O222" s="270"/>
      <c r="P222" s="16"/>
    </row>
    <row r="223" spans="1:16" ht="12.75">
      <c r="A223" s="16">
        <v>41359</v>
      </c>
      <c r="B223">
        <v>7.79</v>
      </c>
      <c r="C223" s="143">
        <f>_XLL.DIATRABALHOTOTAL(A223,$B$2,Feriado!$A$1:$L$62)-1</f>
        <v>197</v>
      </c>
      <c r="D223">
        <v>8.17</v>
      </c>
      <c r="E223" s="143">
        <f>_XLL.DIATRABALHOTOTAL(A223,$D$2,Feriado!$A$1:$L$62)-1</f>
        <v>318</v>
      </c>
      <c r="F223">
        <v>8.52</v>
      </c>
      <c r="G223" s="143">
        <f>_XLL.DIATRABALHOTOTAL(A223,$F$2,Feriado!$A$1:$L$62)-1</f>
        <v>449</v>
      </c>
      <c r="H223">
        <v>8.8</v>
      </c>
      <c r="I223" s="143">
        <f>_XLL.DIATRABALHOTOTAL(A223,$H$2,Feriado!$A$1:$L$62)-1</f>
        <v>572</v>
      </c>
      <c r="J223" s="235">
        <v>6.99</v>
      </c>
      <c r="K223" s="235">
        <v>7.16</v>
      </c>
      <c r="L223" s="235">
        <f t="shared" si="6"/>
        <v>1.0002681517643632</v>
      </c>
      <c r="M223" s="235">
        <f t="shared" si="7"/>
        <v>1.0655696465610038</v>
      </c>
      <c r="O223" s="270"/>
      <c r="P223" s="16"/>
    </row>
    <row r="224" spans="1:16" ht="12.75">
      <c r="A224" s="16">
        <v>41360</v>
      </c>
      <c r="B224">
        <v>7.74</v>
      </c>
      <c r="C224" s="143">
        <f>_XLL.DIATRABALHOTOTAL(A224,$B$2,Feriado!$A$1:$L$62)-1</f>
        <v>196</v>
      </c>
      <c r="D224">
        <v>8.1</v>
      </c>
      <c r="E224" s="143">
        <f>_XLL.DIATRABALHOTOTAL(A224,$D$2,Feriado!$A$1:$L$62)-1</f>
        <v>317</v>
      </c>
      <c r="F224">
        <v>8.45</v>
      </c>
      <c r="G224" s="143">
        <f>_XLL.DIATRABALHOTOTAL(A224,$F$2,Feriado!$A$1:$L$62)-1</f>
        <v>448</v>
      </c>
      <c r="H224">
        <v>8.73</v>
      </c>
      <c r="I224" s="143">
        <f>_XLL.DIATRABALHOTOTAL(A224,$H$2,Feriado!$A$1:$L$62)-1</f>
        <v>571</v>
      </c>
      <c r="J224" s="235">
        <v>6.99</v>
      </c>
      <c r="K224" s="235">
        <v>7.16</v>
      </c>
      <c r="L224" s="235">
        <f t="shared" si="6"/>
        <v>1.0002681517643632</v>
      </c>
      <c r="M224" s="235">
        <f t="shared" si="7"/>
        <v>1.065855380941781</v>
      </c>
      <c r="O224" s="270"/>
      <c r="P224" s="16"/>
    </row>
    <row r="225" spans="1:16" ht="12.75">
      <c r="A225" s="16">
        <v>41361</v>
      </c>
      <c r="B225">
        <v>7.77</v>
      </c>
      <c r="C225" s="143">
        <f>_XLL.DIATRABALHOTOTAL(A225,$B$2,Feriado!$A$1:$L$62)-1</f>
        <v>195</v>
      </c>
      <c r="D225">
        <v>8.13</v>
      </c>
      <c r="E225" s="143">
        <f>_XLL.DIATRABALHOTOTAL(A225,$D$2,Feriado!$A$1:$L$62)-1</f>
        <v>316</v>
      </c>
      <c r="F225">
        <v>8.49</v>
      </c>
      <c r="G225" s="143">
        <f>_XLL.DIATRABALHOTOTAL(A225,$F$2,Feriado!$A$1:$L$62)-1</f>
        <v>447</v>
      </c>
      <c r="H225">
        <v>8.8</v>
      </c>
      <c r="I225" s="143">
        <f>_XLL.DIATRABALHOTOTAL(A225,$H$2,Feriado!$A$1:$L$62)-1</f>
        <v>570</v>
      </c>
      <c r="J225" s="235">
        <v>7.01</v>
      </c>
      <c r="K225" s="235">
        <v>7.16</v>
      </c>
      <c r="L225" s="235">
        <f t="shared" si="6"/>
        <v>1.0002688936932504</v>
      </c>
      <c r="M225" s="235">
        <f t="shared" si="7"/>
        <v>1.0661419827316334</v>
      </c>
      <c r="O225" s="270"/>
      <c r="P225" s="16"/>
    </row>
    <row r="226" spans="1:16" ht="12.75">
      <c r="A226" s="16">
        <v>41365</v>
      </c>
      <c r="B226">
        <v>7.78</v>
      </c>
      <c r="C226" s="143">
        <f>_XLL.DIATRABALHOTOTAL(A226,$B$2,Feriado!$A$1:$L$62)-1</f>
        <v>194</v>
      </c>
      <c r="D226">
        <v>8.16</v>
      </c>
      <c r="E226" s="143">
        <f>_XLL.DIATRABALHOTOTAL(A226,$D$2,Feriado!$A$1:$L$62)-1</f>
        <v>315</v>
      </c>
      <c r="F226">
        <v>8.49</v>
      </c>
      <c r="G226" s="143">
        <f>_XLL.DIATRABALHOTOTAL(A226,$F$2,Feriado!$A$1:$L$62)-1</f>
        <v>446</v>
      </c>
      <c r="H226">
        <v>8.79</v>
      </c>
      <c r="I226" s="143">
        <f>_XLL.DIATRABALHOTOTAL(A226,$H$2,Feriado!$A$1:$L$62)-1</f>
        <v>569</v>
      </c>
      <c r="J226" s="235">
        <v>7.02</v>
      </c>
      <c r="K226" s="235">
        <v>7.16</v>
      </c>
      <c r="L226" s="235">
        <f t="shared" si="6"/>
        <v>1.0002692646059024</v>
      </c>
      <c r="M226" s="235">
        <f t="shared" si="7"/>
        <v>1.0664290570324497</v>
      </c>
      <c r="O226" s="270"/>
      <c r="P226" s="16"/>
    </row>
    <row r="227" spans="1:16" ht="12.75">
      <c r="A227" s="16">
        <v>41366</v>
      </c>
      <c r="B227">
        <v>7.75</v>
      </c>
      <c r="C227" s="143">
        <f>_XLL.DIATRABALHOTOTAL(A227,$B$2,Feriado!$A$1:$L$62)-1</f>
        <v>193</v>
      </c>
      <c r="D227">
        <v>8.09</v>
      </c>
      <c r="E227" s="143">
        <f>_XLL.DIATRABALHOTOTAL(A227,$D$2,Feriado!$A$1:$L$62)-1</f>
        <v>314</v>
      </c>
      <c r="F227">
        <v>8.44</v>
      </c>
      <c r="G227" s="143">
        <f>_XLL.DIATRABALHOTOTAL(A227,$F$2,Feriado!$A$1:$L$62)-1</f>
        <v>445</v>
      </c>
      <c r="H227">
        <v>8.75</v>
      </c>
      <c r="I227" s="143">
        <f>_XLL.DIATRABALHOTOTAL(A227,$H$2,Feriado!$A$1:$L$62)-1</f>
        <v>568</v>
      </c>
      <c r="J227" s="235">
        <v>7.02</v>
      </c>
      <c r="K227" s="235">
        <v>7.16</v>
      </c>
      <c r="L227" s="235">
        <f t="shared" si="6"/>
        <v>1.0002692646059024</v>
      </c>
      <c r="M227" s="235">
        <f t="shared" si="7"/>
        <v>1.0667162086322144</v>
      </c>
      <c r="O227" s="270"/>
      <c r="P227" s="16"/>
    </row>
    <row r="228" spans="1:16" ht="12.75">
      <c r="A228" s="16">
        <v>41367</v>
      </c>
      <c r="B228">
        <v>7.86</v>
      </c>
      <c r="C228" s="143">
        <f>_XLL.DIATRABALHOTOTAL(A228,$B$2,Feriado!$A$1:$L$62)-1</f>
        <v>192</v>
      </c>
      <c r="D228">
        <v>8.24</v>
      </c>
      <c r="E228" s="143">
        <f>_XLL.DIATRABALHOTOTAL(A228,$D$2,Feriado!$A$1:$L$62)-1</f>
        <v>313</v>
      </c>
      <c r="F228">
        <v>8.55</v>
      </c>
      <c r="G228" s="143">
        <f>_XLL.DIATRABALHOTOTAL(A228,$F$2,Feriado!$A$1:$L$62)-1</f>
        <v>444</v>
      </c>
      <c r="H228">
        <v>8.85</v>
      </c>
      <c r="I228" s="143">
        <f>_XLL.DIATRABALHOTOTAL(A228,$H$2,Feriado!$A$1:$L$62)-1</f>
        <v>567</v>
      </c>
      <c r="J228" s="235">
        <v>7.01</v>
      </c>
      <c r="K228" s="235">
        <v>7.16</v>
      </c>
      <c r="L228" s="235">
        <f t="shared" si="6"/>
        <v>1.0002688936932504</v>
      </c>
      <c r="M228" s="235">
        <f t="shared" si="7"/>
        <v>1.0670030418932037</v>
      </c>
      <c r="O228" s="270"/>
      <c r="P228" s="16"/>
    </row>
    <row r="229" spans="1:16" ht="12.75">
      <c r="A229" s="16">
        <v>41368</v>
      </c>
      <c r="B229">
        <v>7.85</v>
      </c>
      <c r="C229" s="143">
        <f>_XLL.DIATRABALHOTOTAL(A229,$B$2,Feriado!$A$1:$L$62)-1</f>
        <v>191</v>
      </c>
      <c r="D229">
        <v>8.21</v>
      </c>
      <c r="E229" s="143">
        <f>_XLL.DIATRABALHOTOTAL(A229,$D$2,Feriado!$A$1:$L$62)-1</f>
        <v>312</v>
      </c>
      <c r="F229">
        <v>8.53</v>
      </c>
      <c r="G229" s="143">
        <f>_XLL.DIATRABALHOTOTAL(A229,$F$2,Feriado!$A$1:$L$62)-1</f>
        <v>443</v>
      </c>
      <c r="H229">
        <v>8.79</v>
      </c>
      <c r="I229" s="143">
        <f>_XLL.DIATRABALHOTOTAL(A229,$H$2,Feriado!$A$1:$L$62)-1</f>
        <v>566</v>
      </c>
      <c r="J229" s="235">
        <v>7.01</v>
      </c>
      <c r="K229" s="235">
        <v>7.16</v>
      </c>
      <c r="L229" s="235">
        <f t="shared" si="6"/>
        <v>1.0002688936932504</v>
      </c>
      <c r="M229" s="235">
        <f t="shared" si="7"/>
        <v>1.0672899522818478</v>
      </c>
      <c r="O229" s="270"/>
      <c r="P229" s="16"/>
    </row>
    <row r="230" spans="1:16" ht="12.75">
      <c r="A230" s="16">
        <v>41369</v>
      </c>
      <c r="B230">
        <v>7.76</v>
      </c>
      <c r="C230" s="143">
        <f>_XLL.DIATRABALHOTOTAL(A230,$B$2,Feriado!$A$1:$L$62)-1</f>
        <v>190</v>
      </c>
      <c r="D230">
        <v>8.1</v>
      </c>
      <c r="E230" s="143">
        <f>_XLL.DIATRABALHOTOTAL(A230,$D$2,Feriado!$A$1:$L$62)-1</f>
        <v>311</v>
      </c>
      <c r="F230">
        <v>8.4</v>
      </c>
      <c r="G230" s="143">
        <f>_XLL.DIATRABALHOTOTAL(A230,$F$2,Feriado!$A$1:$L$62)-1</f>
        <v>442</v>
      </c>
      <c r="H230">
        <v>8.66</v>
      </c>
      <c r="I230" s="143">
        <f>_XLL.DIATRABALHOTOTAL(A230,$H$2,Feriado!$A$1:$L$62)-1</f>
        <v>565</v>
      </c>
      <c r="J230" s="235">
        <v>7.01</v>
      </c>
      <c r="K230" s="235">
        <v>7.16</v>
      </c>
      <c r="L230" s="235">
        <f t="shared" si="6"/>
        <v>1.0002688936932504</v>
      </c>
      <c r="M230" s="235">
        <f t="shared" si="7"/>
        <v>1.067576939818886</v>
      </c>
      <c r="O230" s="270"/>
      <c r="P230" s="16"/>
    </row>
    <row r="231" spans="1:16" ht="12.75">
      <c r="A231" s="16">
        <v>41372</v>
      </c>
      <c r="B231">
        <v>7.8100000000000005</v>
      </c>
      <c r="C231" s="143">
        <f>_XLL.DIATRABALHOTOTAL(A231,$B$2,Feriado!$A$1:$L$62)-1</f>
        <v>189</v>
      </c>
      <c r="D231">
        <v>8.13</v>
      </c>
      <c r="E231" s="143">
        <f>_XLL.DIATRABALHOTOTAL(A231,$D$2,Feriado!$A$1:$L$62)-1</f>
        <v>310</v>
      </c>
      <c r="F231">
        <v>8.43</v>
      </c>
      <c r="G231" s="143">
        <f>_XLL.DIATRABALHOTOTAL(A231,$F$2,Feriado!$A$1:$L$62)-1</f>
        <v>441</v>
      </c>
      <c r="H231">
        <v>8.68</v>
      </c>
      <c r="I231" s="143">
        <f>_XLL.DIATRABALHOTOTAL(A231,$H$2,Feriado!$A$1:$L$62)-1</f>
        <v>564</v>
      </c>
      <c r="J231" s="235">
        <v>7.01</v>
      </c>
      <c r="K231" s="235">
        <v>7.16</v>
      </c>
      <c r="L231" s="235">
        <f t="shared" si="6"/>
        <v>1.0002688936932504</v>
      </c>
      <c r="M231" s="235">
        <f t="shared" si="7"/>
        <v>1.067864004525063</v>
      </c>
      <c r="O231" s="270"/>
      <c r="P231" s="16"/>
    </row>
    <row r="232" spans="1:16" ht="12.75">
      <c r="A232" s="16">
        <v>41373</v>
      </c>
      <c r="B232">
        <v>7.88</v>
      </c>
      <c r="C232" s="143">
        <f>_XLL.DIATRABALHOTOTAL(A232,$B$2,Feriado!$A$1:$L$62)-1</f>
        <v>188</v>
      </c>
      <c r="D232">
        <v>8.2</v>
      </c>
      <c r="E232" s="143">
        <f>_XLL.DIATRABALHOTOTAL(A232,$D$2,Feriado!$A$1:$L$62)-1</f>
        <v>309</v>
      </c>
      <c r="F232">
        <v>8.48</v>
      </c>
      <c r="G232" s="143">
        <f>_XLL.DIATRABALHOTOTAL(A232,$F$2,Feriado!$A$1:$L$62)-1</f>
        <v>440</v>
      </c>
      <c r="H232">
        <v>8.73</v>
      </c>
      <c r="I232" s="143">
        <f>_XLL.DIATRABALHOTOTAL(A232,$H$2,Feriado!$A$1:$L$62)-1</f>
        <v>563</v>
      </c>
      <c r="J232" s="235">
        <v>7.01</v>
      </c>
      <c r="K232" s="235">
        <v>7.16</v>
      </c>
      <c r="L232" s="235">
        <f t="shared" si="6"/>
        <v>1.0002688936932504</v>
      </c>
      <c r="M232" s="235">
        <f t="shared" si="7"/>
        <v>1.0681511464211288</v>
      </c>
      <c r="O232" s="270"/>
      <c r="P232" s="16"/>
    </row>
    <row r="233" spans="1:16" ht="12.75">
      <c r="A233" s="16">
        <v>41374</v>
      </c>
      <c r="B233">
        <v>7.9</v>
      </c>
      <c r="C233" s="143">
        <f>_XLL.DIATRABALHOTOTAL(A233,$B$2,Feriado!$A$1:$L$62)-1</f>
        <v>187</v>
      </c>
      <c r="D233">
        <v>8.21</v>
      </c>
      <c r="E233" s="143">
        <f>_XLL.DIATRABALHOTOTAL(A233,$D$2,Feriado!$A$1:$L$62)-1</f>
        <v>308</v>
      </c>
      <c r="F233">
        <v>8.48</v>
      </c>
      <c r="G233" s="143">
        <f>_XLL.DIATRABALHOTOTAL(A233,$F$2,Feriado!$A$1:$L$62)-1</f>
        <v>439</v>
      </c>
      <c r="H233">
        <v>8.71</v>
      </c>
      <c r="I233" s="143">
        <f>_XLL.DIATRABALHOTOTAL(A233,$H$2,Feriado!$A$1:$L$62)-1</f>
        <v>562</v>
      </c>
      <c r="J233" s="235">
        <v>7.01</v>
      </c>
      <c r="K233" s="235">
        <v>7.16</v>
      </c>
      <c r="L233" s="235">
        <f t="shared" si="6"/>
        <v>1.0002688936932504</v>
      </c>
      <c r="M233" s="235">
        <f t="shared" si="7"/>
        <v>1.0684383655278398</v>
      </c>
      <c r="O233" s="270"/>
      <c r="P233" s="16"/>
    </row>
    <row r="234" spans="1:16" ht="12.75">
      <c r="A234" s="16">
        <v>41375</v>
      </c>
      <c r="B234">
        <v>7.92</v>
      </c>
      <c r="C234" s="143">
        <f>_XLL.DIATRABALHOTOTAL(A234,$B$2,Feriado!$A$1:$L$62)-1</f>
        <v>186</v>
      </c>
      <c r="D234">
        <v>8.22</v>
      </c>
      <c r="E234" s="143">
        <f>_XLL.DIATRABALHOTOTAL(A234,$D$2,Feriado!$A$1:$L$62)-1</f>
        <v>307</v>
      </c>
      <c r="F234">
        <v>8.5</v>
      </c>
      <c r="G234" s="143">
        <f>_XLL.DIATRABALHOTOTAL(A234,$F$2,Feriado!$A$1:$L$62)-1</f>
        <v>438</v>
      </c>
      <c r="H234">
        <v>8.75</v>
      </c>
      <c r="I234" s="143">
        <f>_XLL.DIATRABALHOTOTAL(A234,$H$2,Feriado!$A$1:$L$62)-1</f>
        <v>561</v>
      </c>
      <c r="J234" s="235">
        <v>7.01</v>
      </c>
      <c r="K234" s="235">
        <v>7.16</v>
      </c>
      <c r="L234" s="235">
        <f t="shared" si="6"/>
        <v>1.0002688936932504</v>
      </c>
      <c r="M234" s="235">
        <f t="shared" si="7"/>
        <v>1.068725661865957</v>
      </c>
      <c r="O234" s="270"/>
      <c r="P234" s="16"/>
    </row>
    <row r="235" spans="1:16" ht="12.75">
      <c r="A235" s="16">
        <v>41376</v>
      </c>
      <c r="B235">
        <v>8.17</v>
      </c>
      <c r="C235" s="143">
        <f>_XLL.DIATRABALHOTOTAL(A235,$B$2,Feriado!$A$1:$L$62)-1</f>
        <v>185</v>
      </c>
      <c r="D235">
        <v>8.44</v>
      </c>
      <c r="E235" s="143">
        <f>_XLL.DIATRABALHOTOTAL(A235,$D$2,Feriado!$A$1:$L$62)-1</f>
        <v>306</v>
      </c>
      <c r="F235">
        <v>8.67</v>
      </c>
      <c r="G235" s="143">
        <f>_XLL.DIATRABALHOTOTAL(A235,$F$2,Feriado!$A$1:$L$62)-1</f>
        <v>437</v>
      </c>
      <c r="H235">
        <v>8.88</v>
      </c>
      <c r="I235" s="143">
        <f>_XLL.DIATRABALHOTOTAL(A235,$H$2,Feriado!$A$1:$L$62)-1</f>
        <v>560</v>
      </c>
      <c r="J235" s="235">
        <v>7.01</v>
      </c>
      <c r="K235" s="235">
        <v>7.16</v>
      </c>
      <c r="L235" s="235">
        <f t="shared" si="6"/>
        <v>1.0002688936932504</v>
      </c>
      <c r="M235" s="235">
        <f t="shared" si="7"/>
        <v>1.0690130354562477</v>
      </c>
      <c r="O235" s="270"/>
      <c r="P235" s="16"/>
    </row>
    <row r="236" spans="1:16" ht="12.75">
      <c r="A236" s="16">
        <v>41379</v>
      </c>
      <c r="B236">
        <v>8.21</v>
      </c>
      <c r="C236" s="143">
        <f>_XLL.DIATRABALHOTOTAL(A236,$B$2,Feriado!$A$1:$L$62)-1</f>
        <v>184</v>
      </c>
      <c r="D236">
        <v>8.48</v>
      </c>
      <c r="E236" s="143">
        <f>_XLL.DIATRABALHOTOTAL(A236,$D$2,Feriado!$A$1:$L$62)-1</f>
        <v>305</v>
      </c>
      <c r="F236">
        <v>8.7</v>
      </c>
      <c r="G236" s="143">
        <f>_XLL.DIATRABALHOTOTAL(A236,$F$2,Feriado!$A$1:$L$62)-1</f>
        <v>436</v>
      </c>
      <c r="H236">
        <v>8.93</v>
      </c>
      <c r="I236" s="143">
        <f>_XLL.DIATRABALHOTOTAL(A236,$H$2,Feriado!$A$1:$L$62)-1</f>
        <v>559</v>
      </c>
      <c r="J236" s="235">
        <v>7.01</v>
      </c>
      <c r="K236" s="235">
        <v>7.16</v>
      </c>
      <c r="L236" s="235">
        <f t="shared" si="6"/>
        <v>1.0002688936932504</v>
      </c>
      <c r="M236" s="235">
        <f t="shared" si="7"/>
        <v>1.0693004863194844</v>
      </c>
      <c r="O236" s="270"/>
      <c r="P236" s="16"/>
    </row>
    <row r="237" spans="1:16" ht="12.75">
      <c r="A237" s="16">
        <v>41380</v>
      </c>
      <c r="B237">
        <v>8.23</v>
      </c>
      <c r="C237" s="143">
        <f>_XLL.DIATRABALHOTOTAL(A237,$B$2,Feriado!$A$1:$L$62)-1</f>
        <v>183</v>
      </c>
      <c r="D237">
        <v>8.45</v>
      </c>
      <c r="E237" s="143">
        <f>_XLL.DIATRABALHOTOTAL(A237,$D$2,Feriado!$A$1:$L$62)-1</f>
        <v>304</v>
      </c>
      <c r="F237">
        <v>8.66</v>
      </c>
      <c r="G237" s="143">
        <f>_XLL.DIATRABALHOTOTAL(A237,$F$2,Feriado!$A$1:$L$62)-1</f>
        <v>435</v>
      </c>
      <c r="H237">
        <v>8.88</v>
      </c>
      <c r="I237" s="143">
        <f>_XLL.DIATRABALHOTOTAL(A237,$H$2,Feriado!$A$1:$L$62)-1</f>
        <v>558</v>
      </c>
      <c r="J237" s="235">
        <v>7</v>
      </c>
      <c r="K237" s="235">
        <v>7.16</v>
      </c>
      <c r="L237" s="235">
        <f t="shared" si="6"/>
        <v>1.0002685227460728</v>
      </c>
      <c r="M237" s="235">
        <f t="shared" si="7"/>
        <v>1.069587617822448</v>
      </c>
      <c r="O237" s="270"/>
      <c r="P237" s="16"/>
    </row>
    <row r="238" spans="1:16" ht="12.75">
      <c r="A238" s="16">
        <v>41381</v>
      </c>
      <c r="B238">
        <v>8.23</v>
      </c>
      <c r="C238" s="143">
        <f>_XLL.DIATRABALHOTOTAL(A238,$B$2,Feriado!$A$1:$L$62)-1</f>
        <v>182</v>
      </c>
      <c r="D238">
        <v>8.43</v>
      </c>
      <c r="E238" s="143">
        <f>_XLL.DIATRABALHOTOTAL(A238,$D$2,Feriado!$A$1:$L$62)-1</f>
        <v>303</v>
      </c>
      <c r="F238">
        <v>8.63</v>
      </c>
      <c r="G238" s="143">
        <f>_XLL.DIATRABALHOTOTAL(A238,$F$2,Feriado!$A$1:$L$62)-1</f>
        <v>434</v>
      </c>
      <c r="H238">
        <v>8.84</v>
      </c>
      <c r="I238" s="143">
        <f>_XLL.DIATRABALHOTOTAL(A238,$H$2,Feriado!$A$1:$L$62)-1</f>
        <v>557</v>
      </c>
      <c r="J238" s="235">
        <v>7</v>
      </c>
      <c r="K238" s="235">
        <v>7.16</v>
      </c>
      <c r="L238" s="235">
        <f t="shared" si="6"/>
        <v>1.0002685227460728</v>
      </c>
      <c r="M238" s="235">
        <f t="shared" si="7"/>
        <v>1.069874826426751</v>
      </c>
      <c r="O238" s="270"/>
      <c r="P238" s="16"/>
    </row>
    <row r="239" spans="1:16" ht="12.75">
      <c r="A239" s="16">
        <v>41382</v>
      </c>
      <c r="B239">
        <v>7.84</v>
      </c>
      <c r="C239" s="143">
        <f>_XLL.DIATRABALHOTOTAL(A239,$B$2,Feriado!$A$1:$L$62)-1</f>
        <v>181</v>
      </c>
      <c r="D239">
        <v>8.07</v>
      </c>
      <c r="E239" s="143">
        <f>_XLL.DIATRABALHOTOTAL(A239,$D$2,Feriado!$A$1:$L$62)-1</f>
        <v>302</v>
      </c>
      <c r="F239">
        <v>8.3</v>
      </c>
      <c r="G239" s="143">
        <f>_XLL.DIATRABALHOTOTAL(A239,$F$2,Feriado!$A$1:$L$62)-1</f>
        <v>433</v>
      </c>
      <c r="H239">
        <v>8.54</v>
      </c>
      <c r="I239" s="143">
        <f>_XLL.DIATRABALHOTOTAL(A239,$H$2,Feriado!$A$1:$L$62)-1</f>
        <v>556</v>
      </c>
      <c r="J239" s="235">
        <v>7.24</v>
      </c>
      <c r="K239" s="235">
        <v>7.41</v>
      </c>
      <c r="L239" s="235">
        <f t="shared" si="6"/>
        <v>1.0002774159622947</v>
      </c>
      <c r="M239" s="235">
        <f t="shared" si="7"/>
        <v>1.070171626781259</v>
      </c>
      <c r="O239" s="270"/>
      <c r="P239" s="16"/>
    </row>
    <row r="240" spans="1:16" ht="12.75">
      <c r="A240" s="16">
        <v>41383</v>
      </c>
      <c r="B240">
        <v>7.87</v>
      </c>
      <c r="C240" s="143">
        <f>_XLL.DIATRABALHOTOTAL(A240,$B$2,Feriado!$A$1:$L$62)-1</f>
        <v>180</v>
      </c>
      <c r="D240">
        <v>8.12</v>
      </c>
      <c r="E240" s="143">
        <f>_XLL.DIATRABALHOTOTAL(A240,$D$2,Feriado!$A$1:$L$62)-1</f>
        <v>301</v>
      </c>
      <c r="F240">
        <v>8.35</v>
      </c>
      <c r="G240" s="143">
        <f>_XLL.DIATRABALHOTOTAL(A240,$F$2,Feriado!$A$1:$L$62)-1</f>
        <v>432</v>
      </c>
      <c r="H240">
        <v>8.59</v>
      </c>
      <c r="I240" s="143">
        <f>_XLL.DIATRABALHOTOTAL(A240,$H$2,Feriado!$A$1:$L$62)-1</f>
        <v>555</v>
      </c>
      <c r="J240" s="235">
        <v>7.24</v>
      </c>
      <c r="K240" s="235">
        <v>7.41</v>
      </c>
      <c r="L240" s="235">
        <f t="shared" si="6"/>
        <v>1.0002774159622947</v>
      </c>
      <c r="M240" s="235">
        <f t="shared" si="7"/>
        <v>1.0704685094729232</v>
      </c>
      <c r="O240" s="270"/>
      <c r="P240" s="16"/>
    </row>
    <row r="241" spans="1:16" ht="12.75">
      <c r="A241" s="16">
        <v>41386</v>
      </c>
      <c r="B241">
        <v>7.82</v>
      </c>
      <c r="C241" s="143">
        <f>_XLL.DIATRABALHOTOTAL(A241,$B$2,Feriado!$A$1:$L$62)-1</f>
        <v>179</v>
      </c>
      <c r="D241">
        <v>8.06</v>
      </c>
      <c r="E241" s="143">
        <f>_XLL.DIATRABALHOTOTAL(A241,$D$2,Feriado!$A$1:$L$62)-1</f>
        <v>300</v>
      </c>
      <c r="F241">
        <v>8.29</v>
      </c>
      <c r="G241" s="143">
        <f>_XLL.DIATRABALHOTOTAL(A241,$F$2,Feriado!$A$1:$L$62)-1</f>
        <v>431</v>
      </c>
      <c r="H241">
        <v>8.54</v>
      </c>
      <c r="I241" s="143">
        <f>_XLL.DIATRABALHOTOTAL(A241,$H$2,Feriado!$A$1:$L$62)-1</f>
        <v>554</v>
      </c>
      <c r="J241" s="235">
        <v>7.24</v>
      </c>
      <c r="K241" s="235">
        <v>7.4</v>
      </c>
      <c r="L241" s="235">
        <f t="shared" si="6"/>
        <v>1.0002774159622947</v>
      </c>
      <c r="M241" s="235">
        <f t="shared" si="7"/>
        <v>1.0707654745245847</v>
      </c>
      <c r="O241" s="270"/>
      <c r="P241" s="16"/>
    </row>
    <row r="242" spans="1:16" ht="12.75">
      <c r="A242" s="16">
        <v>41387</v>
      </c>
      <c r="B242">
        <v>7.8100000000000005</v>
      </c>
      <c r="C242" s="143">
        <f>_XLL.DIATRABALHOTOTAL(A242,$B$2,Feriado!$A$1:$L$62)-1</f>
        <v>178</v>
      </c>
      <c r="D242">
        <v>8.04</v>
      </c>
      <c r="E242" s="143">
        <f>_XLL.DIATRABALHOTOTAL(A242,$D$2,Feriado!$A$1:$L$62)-1</f>
        <v>299</v>
      </c>
      <c r="F242">
        <v>8.25</v>
      </c>
      <c r="G242" s="143">
        <f>_XLL.DIATRABALHOTOTAL(A242,$F$2,Feriado!$A$1:$L$62)-1</f>
        <v>430</v>
      </c>
      <c r="H242">
        <v>8.5</v>
      </c>
      <c r="I242" s="143">
        <f>_XLL.DIATRABALHOTOTAL(A242,$H$2,Feriado!$A$1:$L$62)-1</f>
        <v>553</v>
      </c>
      <c r="J242" s="235">
        <v>7.24</v>
      </c>
      <c r="K242" s="235">
        <v>7.4</v>
      </c>
      <c r="L242" s="235">
        <f t="shared" si="6"/>
        <v>1.0002774159622947</v>
      </c>
      <c r="M242" s="235">
        <f t="shared" si="7"/>
        <v>1.071062521959092</v>
      </c>
      <c r="O242" s="270"/>
      <c r="P242" s="16"/>
    </row>
    <row r="243" spans="1:16" ht="12.75">
      <c r="A243" s="16">
        <v>41388</v>
      </c>
      <c r="B243">
        <v>7.83</v>
      </c>
      <c r="C243" s="143">
        <f>_XLL.DIATRABALHOTOTAL(A243,$B$2,Feriado!$A$1:$L$62)-1</f>
        <v>177</v>
      </c>
      <c r="D243">
        <v>8.06</v>
      </c>
      <c r="E243" s="143">
        <f>_XLL.DIATRABALHOTOTAL(A243,$D$2,Feriado!$A$1:$L$62)-1</f>
        <v>298</v>
      </c>
      <c r="F243">
        <v>8.28</v>
      </c>
      <c r="G243" s="143">
        <f>_XLL.DIATRABALHOTOTAL(A243,$F$2,Feriado!$A$1:$L$62)-1</f>
        <v>429</v>
      </c>
      <c r="H243">
        <v>8.51</v>
      </c>
      <c r="I243" s="143">
        <f>_XLL.DIATRABALHOTOTAL(A243,$H$2,Feriado!$A$1:$L$62)-1</f>
        <v>552</v>
      </c>
      <c r="J243" s="235">
        <v>7.24</v>
      </c>
      <c r="K243" s="235">
        <v>7.4</v>
      </c>
      <c r="L243" s="235">
        <f t="shared" si="6"/>
        <v>1.0002774159622947</v>
      </c>
      <c r="M243" s="235">
        <f t="shared" si="7"/>
        <v>1.071359651799299</v>
      </c>
      <c r="O243" s="270"/>
      <c r="P243" s="16"/>
    </row>
    <row r="244" spans="1:16" ht="12.75">
      <c r="A244" s="16">
        <v>41389</v>
      </c>
      <c r="B244">
        <v>7.93</v>
      </c>
      <c r="C244" s="143">
        <f>_XLL.DIATRABALHOTOTAL(A244,$B$2,Feriado!$A$1:$L$62)-1</f>
        <v>176</v>
      </c>
      <c r="D244">
        <v>8.14</v>
      </c>
      <c r="E244" s="143">
        <f>_XLL.DIATRABALHOTOTAL(A244,$D$2,Feriado!$A$1:$L$62)-1</f>
        <v>297</v>
      </c>
      <c r="F244">
        <v>8.36</v>
      </c>
      <c r="G244" s="143">
        <f>_XLL.DIATRABALHOTOTAL(A244,$F$2,Feriado!$A$1:$L$62)-1</f>
        <v>428</v>
      </c>
      <c r="H244">
        <v>8.59</v>
      </c>
      <c r="I244" s="143">
        <f>_XLL.DIATRABALHOTOTAL(A244,$H$2,Feriado!$A$1:$L$62)-1</f>
        <v>551</v>
      </c>
      <c r="J244" s="235">
        <v>7.24</v>
      </c>
      <c r="K244" s="235">
        <v>7.4</v>
      </c>
      <c r="L244" s="235">
        <f t="shared" si="6"/>
        <v>1.0002774159622947</v>
      </c>
      <c r="M244" s="235">
        <f t="shared" si="7"/>
        <v>1.0716568640680666</v>
      </c>
      <c r="O244" s="270"/>
      <c r="P244" s="16"/>
    </row>
    <row r="245" spans="1:16" ht="12.75">
      <c r="A245" s="16">
        <v>41390</v>
      </c>
      <c r="B245">
        <v>7.91</v>
      </c>
      <c r="C245" s="143">
        <f>_XLL.DIATRABALHOTOTAL(A245,$B$2,Feriado!$A$1:$L$62)-1</f>
        <v>175</v>
      </c>
      <c r="D245">
        <v>8.08</v>
      </c>
      <c r="E245" s="143">
        <f>_XLL.DIATRABALHOTOTAL(A245,$D$2,Feriado!$A$1:$L$62)-1</f>
        <v>296</v>
      </c>
      <c r="F245">
        <v>8.28</v>
      </c>
      <c r="G245" s="143">
        <f>_XLL.DIATRABALHOTOTAL(A245,$F$2,Feriado!$A$1:$L$62)-1</f>
        <v>427</v>
      </c>
      <c r="H245">
        <v>8.51</v>
      </c>
      <c r="I245" s="143">
        <f>_XLL.DIATRABALHOTOTAL(A245,$H$2,Feriado!$A$1:$L$62)-1</f>
        <v>550</v>
      </c>
      <c r="J245" s="235">
        <v>7.23</v>
      </c>
      <c r="K245" s="235">
        <v>7.4</v>
      </c>
      <c r="L245" s="235">
        <f t="shared" si="6"/>
        <v>1.0002770458075791</v>
      </c>
      <c r="M245" s="235">
        <f t="shared" si="7"/>
        <v>1.0719537621094202</v>
      </c>
      <c r="O245" s="270"/>
      <c r="P245" s="16"/>
    </row>
    <row r="246" spans="1:16" ht="12.75">
      <c r="A246" s="16">
        <v>41393</v>
      </c>
      <c r="B246">
        <v>7.9</v>
      </c>
      <c r="C246" s="143">
        <f>_XLL.DIATRABALHOTOTAL(A246,$B$2,Feriado!$A$1:$L$62)-1</f>
        <v>174</v>
      </c>
      <c r="D246">
        <v>8.07</v>
      </c>
      <c r="E246" s="143">
        <f>_XLL.DIATRABALHOTOTAL(A246,$D$2,Feriado!$A$1:$L$62)-1</f>
        <v>295</v>
      </c>
      <c r="F246">
        <v>8.24</v>
      </c>
      <c r="G246" s="143">
        <f>_XLL.DIATRABALHOTOTAL(A246,$F$2,Feriado!$A$1:$L$62)-1</f>
        <v>426</v>
      </c>
      <c r="H246">
        <v>8.47</v>
      </c>
      <c r="I246" s="143">
        <f>_XLL.DIATRABALHOTOTAL(A246,$H$2,Feriado!$A$1:$L$62)-1</f>
        <v>549</v>
      </c>
      <c r="J246" s="235">
        <v>7.23</v>
      </c>
      <c r="K246" s="235">
        <v>7.4</v>
      </c>
      <c r="L246" s="235">
        <f t="shared" si="6"/>
        <v>1.0002770458075791</v>
      </c>
      <c r="M246" s="235">
        <f t="shared" si="7"/>
        <v>1.0722507424051313</v>
      </c>
      <c r="O246" s="270"/>
      <c r="P246" s="16"/>
    </row>
    <row r="247" spans="1:16" ht="12.75">
      <c r="A247" s="16">
        <v>41394</v>
      </c>
      <c r="B247">
        <v>7.91</v>
      </c>
      <c r="C247" s="143">
        <f>_XLL.DIATRABALHOTOTAL(A247,$B$2,Feriado!$A$1:$L$62)-1</f>
        <v>173</v>
      </c>
      <c r="D247">
        <v>8.08</v>
      </c>
      <c r="E247" s="143">
        <f>_XLL.DIATRABALHOTOTAL(A247,$D$2,Feriado!$A$1:$L$62)-1</f>
        <v>294</v>
      </c>
      <c r="F247">
        <v>8.25</v>
      </c>
      <c r="G247" s="143">
        <f>_XLL.DIATRABALHOTOTAL(A247,$F$2,Feriado!$A$1:$L$62)-1</f>
        <v>425</v>
      </c>
      <c r="H247">
        <v>8.47</v>
      </c>
      <c r="I247" s="143">
        <f>_XLL.DIATRABALHOTOTAL(A247,$H$2,Feriado!$A$1:$L$62)-1</f>
        <v>548</v>
      </c>
      <c r="J247" s="235">
        <v>7.23</v>
      </c>
      <c r="K247" s="235">
        <v>7.4</v>
      </c>
      <c r="L247" s="235">
        <f t="shared" si="6"/>
        <v>1.0002770458075791</v>
      </c>
      <c r="M247" s="235">
        <f t="shared" si="7"/>
        <v>1.0725478049779882</v>
      </c>
      <c r="O247" s="270"/>
      <c r="P247" s="16"/>
    </row>
    <row r="248" spans="1:13" ht="12.75">
      <c r="A248" s="16">
        <v>41396</v>
      </c>
      <c r="B248">
        <v>7.87</v>
      </c>
      <c r="C248" s="143">
        <f>_XLL.DIATRABALHOTOTAL(A248,$B$2,Feriado!$A$1:$L$62)-1</f>
        <v>172</v>
      </c>
      <c r="D248">
        <v>8.03</v>
      </c>
      <c r="E248" s="143">
        <f>_XLL.DIATRABALHOTOTAL(A248,$D$2,Feriado!$A$1:$L$62)-1</f>
        <v>293</v>
      </c>
      <c r="F248">
        <v>8.2</v>
      </c>
      <c r="G248" s="143">
        <f>_XLL.DIATRABALHOTOTAL(A248,$F$2,Feriado!$A$1:$L$62)-1</f>
        <v>424</v>
      </c>
      <c r="H248">
        <v>8.41</v>
      </c>
      <c r="I248" s="143">
        <f>_XLL.DIATRABALHOTOTAL(A248,$H$2,Feriado!$A$1:$L$62)-1</f>
        <v>547</v>
      </c>
      <c r="J248" s="235">
        <v>7.23</v>
      </c>
      <c r="K248" s="235">
        <v>7.4</v>
      </c>
      <c r="L248" s="235">
        <f t="shared" si="6"/>
        <v>1.0002770458075791</v>
      </c>
      <c r="M248" s="235">
        <f t="shared" si="7"/>
        <v>1.0728449498507855</v>
      </c>
    </row>
    <row r="249" spans="1:9" ht="12.75">
      <c r="A249" s="16"/>
      <c r="C249" s="143"/>
      <c r="E249" s="143"/>
      <c r="G249" s="143"/>
      <c r="I249" s="143"/>
    </row>
    <row r="250" spans="1:9" ht="12.75">
      <c r="A250" s="16"/>
      <c r="C250" s="143"/>
      <c r="E250" s="143"/>
      <c r="G250" s="143"/>
      <c r="I250" s="143"/>
    </row>
    <row r="251" spans="1:9" ht="12.75">
      <c r="A251" s="16"/>
      <c r="C251" s="143"/>
      <c r="E251" s="143"/>
      <c r="G251" s="143"/>
      <c r="I251" s="143"/>
    </row>
    <row r="252" spans="1:9" ht="12.75">
      <c r="A252" s="16"/>
      <c r="C252" s="143"/>
      <c r="E252" s="143"/>
      <c r="G252" s="143"/>
      <c r="I252" s="143"/>
    </row>
    <row r="253" spans="1:9" ht="12.75">
      <c r="A253" s="16"/>
      <c r="C253" s="143"/>
      <c r="E253" s="143"/>
      <c r="G253" s="143"/>
      <c r="I253" s="143"/>
    </row>
    <row r="254" spans="1:9" ht="12.75">
      <c r="A254" s="16"/>
      <c r="C254" s="143"/>
      <c r="E254" s="143"/>
      <c r="G254" s="143"/>
      <c r="I254" s="143"/>
    </row>
    <row r="255" spans="1:9" ht="12.75">
      <c r="A255" s="16"/>
      <c r="C255" s="143"/>
      <c r="E255" s="143"/>
      <c r="G255" s="143"/>
      <c r="I255" s="143"/>
    </row>
    <row r="256" spans="1:9" ht="12.75">
      <c r="A256" s="16"/>
      <c r="C256" s="143"/>
      <c r="E256" s="143"/>
      <c r="G256" s="143"/>
      <c r="I256" s="143"/>
    </row>
    <row r="257" spans="1:9" ht="12.75">
      <c r="A257" s="16"/>
      <c r="C257" s="143"/>
      <c r="E257" s="143"/>
      <c r="G257" s="143"/>
      <c r="I257" s="143"/>
    </row>
    <row r="258" spans="1:9" ht="12.75">
      <c r="A258" s="16"/>
      <c r="C258" s="143"/>
      <c r="E258" s="143"/>
      <c r="G258" s="143"/>
      <c r="I258" s="143"/>
    </row>
    <row r="259" spans="1:9" ht="12.75">
      <c r="A259" s="16"/>
      <c r="C259" s="143"/>
      <c r="E259" s="143"/>
      <c r="G259" s="143"/>
      <c r="I259" s="143"/>
    </row>
    <row r="260" spans="1:9" ht="12.75">
      <c r="A260" s="16"/>
      <c r="C260" s="143"/>
      <c r="E260" s="143"/>
      <c r="G260" s="143"/>
      <c r="I260" s="143"/>
    </row>
    <row r="261" spans="1:9" ht="12.75">
      <c r="A261" s="16"/>
      <c r="C261" s="143"/>
      <c r="E261" s="143"/>
      <c r="G261" s="143"/>
      <c r="I261" s="143"/>
    </row>
    <row r="262" spans="1:9" ht="12.75">
      <c r="A262" s="16"/>
      <c r="C262" s="143"/>
      <c r="E262" s="143"/>
      <c r="G262" s="143"/>
      <c r="I262" s="143"/>
    </row>
    <row r="263" spans="1:9" ht="12.75">
      <c r="A263" s="16"/>
      <c r="C263" s="143"/>
      <c r="E263" s="143"/>
      <c r="G263" s="143"/>
      <c r="I263" s="143"/>
    </row>
    <row r="264" spans="1:9" ht="12.75">
      <c r="A264" s="16"/>
      <c r="C264" s="143"/>
      <c r="E264" s="143"/>
      <c r="G264" s="143"/>
      <c r="I264" s="143"/>
    </row>
    <row r="265" spans="1:9" ht="12.75">
      <c r="A265" s="16"/>
      <c r="C265" s="143"/>
      <c r="E265" s="143"/>
      <c r="G265" s="143"/>
      <c r="I265" s="143"/>
    </row>
    <row r="266" spans="1:9" ht="12.75">
      <c r="A266" s="16"/>
      <c r="C266" s="143"/>
      <c r="E266" s="143"/>
      <c r="G266" s="143"/>
      <c r="I266" s="143"/>
    </row>
    <row r="267" spans="1:9" ht="12.75">
      <c r="A267" s="16"/>
      <c r="C267" s="143"/>
      <c r="E267" s="143"/>
      <c r="G267" s="143"/>
      <c r="I267" s="143"/>
    </row>
    <row r="268" spans="1:9" ht="12.75">
      <c r="A268" s="16"/>
      <c r="C268" s="143"/>
      <c r="E268" s="143"/>
      <c r="G268" s="143"/>
      <c r="I268" s="143"/>
    </row>
    <row r="269" spans="1:9" ht="12.75">
      <c r="A269" s="16"/>
      <c r="C269" s="143"/>
      <c r="E269" s="143"/>
      <c r="G269" s="143"/>
      <c r="I269" s="143"/>
    </row>
    <row r="270" spans="1:9" ht="12.75">
      <c r="A270" s="16"/>
      <c r="C270" s="143"/>
      <c r="E270" s="143"/>
      <c r="G270" s="143"/>
      <c r="I270" s="143"/>
    </row>
    <row r="271" spans="1:9" ht="12.75">
      <c r="A271" s="16"/>
      <c r="C271" s="143"/>
      <c r="E271" s="143"/>
      <c r="G271" s="143"/>
      <c r="I271" s="143"/>
    </row>
    <row r="272" spans="1:9" ht="12.75">
      <c r="A272" s="16"/>
      <c r="C272" s="143"/>
      <c r="E272" s="143"/>
      <c r="G272" s="143"/>
      <c r="I272" s="143"/>
    </row>
    <row r="273" spans="1:9" ht="12.75">
      <c r="A273" s="16"/>
      <c r="C273" s="143"/>
      <c r="E273" s="143"/>
      <c r="G273" s="143"/>
      <c r="I273" s="143"/>
    </row>
    <row r="274" spans="1:9" ht="12.75">
      <c r="A274" s="16"/>
      <c r="C274" s="143"/>
      <c r="E274" s="143"/>
      <c r="G274" s="143"/>
      <c r="I274" s="143"/>
    </row>
    <row r="275" spans="1:9" ht="12.75">
      <c r="A275" s="16"/>
      <c r="C275" s="143"/>
      <c r="E275" s="143"/>
      <c r="G275" s="143"/>
      <c r="I275" s="143"/>
    </row>
    <row r="276" spans="1:9" ht="12.75">
      <c r="A276" s="16"/>
      <c r="C276" s="143"/>
      <c r="E276" s="143"/>
      <c r="G276" s="143"/>
      <c r="I276" s="143"/>
    </row>
    <row r="277" spans="1:9" ht="12.75">
      <c r="A277" s="16"/>
      <c r="C277" s="143"/>
      <c r="E277" s="143"/>
      <c r="G277" s="143"/>
      <c r="I277" s="143"/>
    </row>
    <row r="278" spans="1:9" ht="12.75">
      <c r="A278" s="16"/>
      <c r="C278" s="143"/>
      <c r="E278" s="143"/>
      <c r="G278" s="143"/>
      <c r="I278" s="143"/>
    </row>
    <row r="279" spans="1:9" ht="12.75">
      <c r="A279" s="16"/>
      <c r="C279" s="143"/>
      <c r="E279" s="143"/>
      <c r="G279" s="143"/>
      <c r="I279" s="143"/>
    </row>
    <row r="280" spans="1:9" ht="12.75">
      <c r="A280" s="16"/>
      <c r="C280" s="143"/>
      <c r="E280" s="143"/>
      <c r="G280" s="143"/>
      <c r="I280" s="143"/>
    </row>
    <row r="281" spans="1:9" ht="12.75">
      <c r="A281" s="16"/>
      <c r="C281" s="143"/>
      <c r="E281" s="143"/>
      <c r="G281" s="143"/>
      <c r="I281" s="143"/>
    </row>
    <row r="282" spans="1:9" ht="12.75">
      <c r="A282" s="16"/>
      <c r="C282" s="143"/>
      <c r="E282" s="143"/>
      <c r="G282" s="143"/>
      <c r="I282" s="143"/>
    </row>
    <row r="283" spans="1:9" ht="12.75">
      <c r="A283" s="16"/>
      <c r="C283" s="143"/>
      <c r="E283" s="143"/>
      <c r="G283" s="143"/>
      <c r="I283" s="143"/>
    </row>
    <row r="284" spans="1:9" ht="12.75">
      <c r="A284" s="16"/>
      <c r="C284" s="143"/>
      <c r="E284" s="143"/>
      <c r="G284" s="143"/>
      <c r="I284" s="143"/>
    </row>
    <row r="285" spans="1:9" ht="12.75">
      <c r="A285" s="16"/>
      <c r="C285" s="143"/>
      <c r="E285" s="143"/>
      <c r="G285" s="143"/>
      <c r="I285" s="143"/>
    </row>
    <row r="286" spans="1:9" ht="12.75">
      <c r="A286" s="16"/>
      <c r="C286" s="143"/>
      <c r="E286" s="143"/>
      <c r="G286" s="143"/>
      <c r="I286" s="143"/>
    </row>
    <row r="287" spans="1:9" ht="12.75">
      <c r="A287" s="16"/>
      <c r="C287" s="143"/>
      <c r="E287" s="143"/>
      <c r="G287" s="143"/>
      <c r="I287" s="143"/>
    </row>
    <row r="288" spans="1:9" ht="12.75">
      <c r="A288" s="16"/>
      <c r="C288" s="143"/>
      <c r="E288" s="143"/>
      <c r="G288" s="143"/>
      <c r="I288" s="143"/>
    </row>
    <row r="289" spans="1:9" ht="12.75">
      <c r="A289" s="16"/>
      <c r="C289" s="143"/>
      <c r="E289" s="143"/>
      <c r="G289" s="143"/>
      <c r="I289" s="143"/>
    </row>
    <row r="290" spans="1:9" ht="12.75">
      <c r="A290" s="16"/>
      <c r="C290" s="143"/>
      <c r="E290" s="143"/>
      <c r="G290" s="143"/>
      <c r="I290" s="143"/>
    </row>
    <row r="291" spans="1:9" ht="12.75">
      <c r="A291" s="16"/>
      <c r="C291" s="143"/>
      <c r="E291" s="143"/>
      <c r="G291" s="143"/>
      <c r="I291" s="143"/>
    </row>
    <row r="292" spans="1:9" ht="12.75">
      <c r="A292" s="16"/>
      <c r="C292" s="143"/>
      <c r="E292" s="143"/>
      <c r="G292" s="143"/>
      <c r="I292" s="143"/>
    </row>
    <row r="293" spans="1:9" ht="12.75">
      <c r="A293" s="16"/>
      <c r="C293" s="143"/>
      <c r="E293" s="143"/>
      <c r="G293" s="143"/>
      <c r="I293" s="143"/>
    </row>
    <row r="294" spans="1:9" ht="12.75">
      <c r="A294" s="16"/>
      <c r="C294" s="143"/>
      <c r="E294" s="143"/>
      <c r="G294" s="143"/>
      <c r="I294" s="143"/>
    </row>
    <row r="295" spans="1:9" ht="12.75">
      <c r="A295" s="16"/>
      <c r="C295" s="143"/>
      <c r="E295" s="143"/>
      <c r="G295" s="143"/>
      <c r="I295" s="143"/>
    </row>
    <row r="296" spans="1:9" ht="12.75">
      <c r="A296" s="16"/>
      <c r="C296" s="143"/>
      <c r="E296" s="143"/>
      <c r="G296" s="143"/>
      <c r="I296" s="143"/>
    </row>
    <row r="297" spans="1:9" ht="12.75">
      <c r="A297" s="16"/>
      <c r="C297" s="143"/>
      <c r="E297" s="143"/>
      <c r="G297" s="143"/>
      <c r="I297" s="143"/>
    </row>
    <row r="298" spans="1:9" ht="12.75">
      <c r="A298" s="16"/>
      <c r="C298" s="143"/>
      <c r="E298" s="143"/>
      <c r="G298" s="143"/>
      <c r="I298" s="143"/>
    </row>
    <row r="299" spans="1:9" ht="12.75">
      <c r="A299" s="16"/>
      <c r="C299" s="143"/>
      <c r="E299" s="143"/>
      <c r="G299" s="143"/>
      <c r="I299" s="143"/>
    </row>
    <row r="300" spans="1:9" ht="12.75">
      <c r="A300" s="16"/>
      <c r="C300" s="143"/>
      <c r="E300" s="143"/>
      <c r="G300" s="143"/>
      <c r="I300" s="143"/>
    </row>
    <row r="301" spans="1:9" ht="12.75">
      <c r="A301" s="16"/>
      <c r="C301" s="143"/>
      <c r="E301" s="143"/>
      <c r="G301" s="143"/>
      <c r="I301" s="143"/>
    </row>
    <row r="302" spans="1:9" ht="12.75">
      <c r="A302" s="16"/>
      <c r="C302" s="143"/>
      <c r="E302" s="143"/>
      <c r="G302" s="143"/>
      <c r="I302" s="143"/>
    </row>
    <row r="303" spans="1:9" ht="12.75">
      <c r="A303" s="16"/>
      <c r="C303" s="143"/>
      <c r="E303" s="143"/>
      <c r="G303" s="143"/>
      <c r="I303" s="143"/>
    </row>
    <row r="304" spans="1:9" ht="12.75">
      <c r="A304" s="16"/>
      <c r="C304" s="143"/>
      <c r="E304" s="143"/>
      <c r="G304" s="143"/>
      <c r="I304" s="143"/>
    </row>
    <row r="305" spans="1:9" ht="12.75">
      <c r="A305" s="16"/>
      <c r="C305" s="143"/>
      <c r="E305" s="143"/>
      <c r="G305" s="143"/>
      <c r="I305" s="143"/>
    </row>
    <row r="306" spans="1:9" ht="12.75">
      <c r="A306" s="16"/>
      <c r="C306" s="143"/>
      <c r="E306" s="143"/>
      <c r="G306" s="143"/>
      <c r="I306" s="143"/>
    </row>
    <row r="307" spans="1:9" ht="12.75">
      <c r="A307" s="16"/>
      <c r="C307" s="143"/>
      <c r="E307" s="143"/>
      <c r="G307" s="143"/>
      <c r="I307" s="143"/>
    </row>
    <row r="308" spans="1:9" ht="12.75">
      <c r="A308" s="16"/>
      <c r="C308" s="143"/>
      <c r="E308" s="143"/>
      <c r="G308" s="143"/>
      <c r="I308" s="143"/>
    </row>
    <row r="309" spans="1:9" ht="12.75">
      <c r="A309" s="16"/>
      <c r="C309" s="143"/>
      <c r="E309" s="143"/>
      <c r="G309" s="143"/>
      <c r="I309" s="143"/>
    </row>
    <row r="310" spans="1:9" ht="12.75">
      <c r="A310" s="16"/>
      <c r="C310" s="143"/>
      <c r="E310" s="143"/>
      <c r="G310" s="143"/>
      <c r="I310" s="143"/>
    </row>
    <row r="311" spans="1:9" ht="12.75">
      <c r="A311" s="16"/>
      <c r="C311" s="143"/>
      <c r="E311" s="143"/>
      <c r="G311" s="143"/>
      <c r="I311" s="143"/>
    </row>
    <row r="312" spans="1:9" ht="12.75">
      <c r="A312" s="16"/>
      <c r="C312" s="143"/>
      <c r="E312" s="143"/>
      <c r="G312" s="143"/>
      <c r="I312" s="143"/>
    </row>
    <row r="313" spans="1:9" ht="12.75">
      <c r="A313" s="16"/>
      <c r="C313" s="143"/>
      <c r="E313" s="143"/>
      <c r="G313" s="143"/>
      <c r="I313" s="143"/>
    </row>
    <row r="314" spans="1:9" ht="12.75">
      <c r="A314" s="16"/>
      <c r="C314" s="143"/>
      <c r="E314" s="143"/>
      <c r="G314" s="143"/>
      <c r="I314" s="143"/>
    </row>
    <row r="315" spans="1:9" ht="12.75">
      <c r="A315" s="16"/>
      <c r="C315" s="143"/>
      <c r="E315" s="143"/>
      <c r="G315" s="143"/>
      <c r="I315" s="143"/>
    </row>
    <row r="316" spans="1:9" ht="12.75">
      <c r="A316" s="16"/>
      <c r="C316" s="143"/>
      <c r="E316" s="143"/>
      <c r="G316" s="143"/>
      <c r="I316" s="143"/>
    </row>
    <row r="317" spans="1:9" ht="12.75">
      <c r="A317" s="16"/>
      <c r="C317" s="143"/>
      <c r="E317" s="143"/>
      <c r="G317" s="143"/>
      <c r="I317" s="143"/>
    </row>
    <row r="318" spans="1:9" ht="12.75">
      <c r="A318" s="16"/>
      <c r="C318" s="143"/>
      <c r="E318" s="143"/>
      <c r="G318" s="143"/>
      <c r="I318" s="143"/>
    </row>
    <row r="319" spans="1:9" ht="12.75">
      <c r="A319" s="16"/>
      <c r="C319" s="143"/>
      <c r="E319" s="143"/>
      <c r="G319" s="143"/>
      <c r="I319" s="143"/>
    </row>
    <row r="320" spans="1:9" ht="12.75">
      <c r="A320" s="16"/>
      <c r="C320" s="143"/>
      <c r="E320" s="143"/>
      <c r="G320" s="143"/>
      <c r="I320" s="143"/>
    </row>
    <row r="321" spans="1:9" ht="12.75">
      <c r="A321" s="16"/>
      <c r="C321" s="143"/>
      <c r="E321" s="143"/>
      <c r="G321" s="143"/>
      <c r="I321" s="143"/>
    </row>
    <row r="322" spans="1:9" ht="12.75">
      <c r="A322" s="16"/>
      <c r="C322" s="143"/>
      <c r="E322" s="143"/>
      <c r="G322" s="143"/>
      <c r="I322" s="143"/>
    </row>
    <row r="323" spans="1:9" ht="12.75">
      <c r="A323" s="16"/>
      <c r="C323" s="143"/>
      <c r="E323" s="143"/>
      <c r="G323" s="143"/>
      <c r="I323" s="143"/>
    </row>
    <row r="324" spans="1:9" ht="12.75">
      <c r="A324" s="16"/>
      <c r="C324" s="143"/>
      <c r="E324" s="143"/>
      <c r="G324" s="143"/>
      <c r="I324" s="143"/>
    </row>
    <row r="325" spans="1:9" ht="12.75">
      <c r="A325" s="16"/>
      <c r="C325" s="143"/>
      <c r="E325" s="143"/>
      <c r="G325" s="143"/>
      <c r="I325" s="143"/>
    </row>
    <row r="326" spans="1:9" ht="12.75">
      <c r="A326" s="16"/>
      <c r="C326" s="143"/>
      <c r="E326" s="143"/>
      <c r="G326" s="143"/>
      <c r="I326" s="143"/>
    </row>
    <row r="327" spans="1:9" ht="12.75">
      <c r="A327" s="16"/>
      <c r="C327" s="143"/>
      <c r="E327" s="143"/>
      <c r="G327" s="143"/>
      <c r="I327" s="143"/>
    </row>
    <row r="328" spans="1:9" ht="12.75">
      <c r="A328" s="16"/>
      <c r="C328" s="143"/>
      <c r="E328" s="143"/>
      <c r="G328" s="143"/>
      <c r="I328" s="143"/>
    </row>
    <row r="329" spans="1:9" ht="12.75">
      <c r="A329" s="16"/>
      <c r="C329" s="143"/>
      <c r="E329" s="143"/>
      <c r="G329" s="143"/>
      <c r="I329" s="143"/>
    </row>
    <row r="330" spans="1:9" ht="12.75">
      <c r="A330" s="16"/>
      <c r="C330" s="143"/>
      <c r="E330" s="143"/>
      <c r="G330" s="143"/>
      <c r="I330" s="143"/>
    </row>
    <row r="331" spans="1:9" ht="12.75">
      <c r="A331" s="16"/>
      <c r="C331" s="143"/>
      <c r="E331" s="143"/>
      <c r="G331" s="143"/>
      <c r="I331" s="143"/>
    </row>
    <row r="332" spans="1:9" ht="12.75">
      <c r="A332" s="16"/>
      <c r="C332" s="143"/>
      <c r="E332" s="143"/>
      <c r="G332" s="143"/>
      <c r="I332" s="143"/>
    </row>
    <row r="333" spans="1:9" ht="12.75">
      <c r="A333" s="16"/>
      <c r="C333" s="143"/>
      <c r="E333" s="143"/>
      <c r="G333" s="143"/>
      <c r="I333" s="143"/>
    </row>
    <row r="334" spans="1:9" ht="12.75">
      <c r="A334" s="16"/>
      <c r="C334" s="143"/>
      <c r="E334" s="143"/>
      <c r="G334" s="143"/>
      <c r="I334" s="143"/>
    </row>
    <row r="335" spans="1:9" ht="12.75">
      <c r="A335" s="16"/>
      <c r="C335" s="143"/>
      <c r="E335" s="143"/>
      <c r="G335" s="143"/>
      <c r="I335" s="143"/>
    </row>
    <row r="336" spans="1:9" ht="12.75">
      <c r="A336" s="16"/>
      <c r="C336" s="143"/>
      <c r="E336" s="143"/>
      <c r="G336" s="143"/>
      <c r="I336" s="143"/>
    </row>
    <row r="337" spans="1:9" ht="12.75">
      <c r="A337" s="16"/>
      <c r="C337" s="143"/>
      <c r="E337" s="143"/>
      <c r="G337" s="143"/>
      <c r="I337" s="143"/>
    </row>
    <row r="338" spans="1:9" ht="12.75">
      <c r="A338" s="16"/>
      <c r="C338" s="143"/>
      <c r="E338" s="143"/>
      <c r="G338" s="143"/>
      <c r="I338" s="143"/>
    </row>
    <row r="339" spans="1:9" ht="12.75">
      <c r="A339" s="16"/>
      <c r="C339" s="143"/>
      <c r="E339" s="143"/>
      <c r="G339" s="143"/>
      <c r="I339" s="143"/>
    </row>
    <row r="340" spans="1:9" ht="12.75">
      <c r="A340" s="16"/>
      <c r="C340" s="143"/>
      <c r="E340" s="143"/>
      <c r="G340" s="143"/>
      <c r="I340" s="143"/>
    </row>
    <row r="341" spans="1:9" ht="12.75">
      <c r="A341" s="16"/>
      <c r="C341" s="143"/>
      <c r="E341" s="143"/>
      <c r="G341" s="143"/>
      <c r="I341" s="143"/>
    </row>
    <row r="342" spans="1:9" ht="12.75">
      <c r="A342" s="16"/>
      <c r="C342" s="143"/>
      <c r="E342" s="143"/>
      <c r="G342" s="143"/>
      <c r="I342" s="143"/>
    </row>
    <row r="343" spans="1:9" ht="12.75">
      <c r="A343" s="16"/>
      <c r="C343" s="143"/>
      <c r="E343" s="143"/>
      <c r="G343" s="143"/>
      <c r="I343" s="143"/>
    </row>
    <row r="344" spans="1:9" ht="12.75">
      <c r="A344" s="16"/>
      <c r="C344" s="143"/>
      <c r="E344" s="143"/>
      <c r="G344" s="143"/>
      <c r="I344" s="143"/>
    </row>
    <row r="345" spans="1:9" ht="12.75">
      <c r="A345" s="16"/>
      <c r="C345" s="143"/>
      <c r="E345" s="143"/>
      <c r="G345" s="143"/>
      <c r="I345" s="143"/>
    </row>
    <row r="346" spans="1:9" ht="12.75">
      <c r="A346" s="16"/>
      <c r="C346" s="143"/>
      <c r="E346" s="143"/>
      <c r="G346" s="143"/>
      <c r="I346" s="143"/>
    </row>
    <row r="347" spans="1:9" ht="12.75">
      <c r="A347" s="16"/>
      <c r="C347" s="143"/>
      <c r="E347" s="143"/>
      <c r="G347" s="143"/>
      <c r="I347" s="143"/>
    </row>
    <row r="348" spans="1:9" ht="12.75">
      <c r="A348" s="16"/>
      <c r="C348" s="143"/>
      <c r="E348" s="143"/>
      <c r="G348" s="143"/>
      <c r="I348" s="143"/>
    </row>
    <row r="349" spans="1:9" ht="12.75">
      <c r="A349" s="16"/>
      <c r="C349" s="143"/>
      <c r="E349" s="143"/>
      <c r="G349" s="143"/>
      <c r="I349" s="143"/>
    </row>
    <row r="350" spans="1:9" ht="12.75">
      <c r="A350" s="16"/>
      <c r="C350" s="143"/>
      <c r="E350" s="143"/>
      <c r="G350" s="143"/>
      <c r="I350" s="143"/>
    </row>
    <row r="351" spans="1:9" ht="12.75">
      <c r="A351" s="16"/>
      <c r="C351" s="143"/>
      <c r="E351" s="143"/>
      <c r="G351" s="143"/>
      <c r="I351" s="143"/>
    </row>
    <row r="352" spans="1:9" ht="12.75">
      <c r="A352" s="16"/>
      <c r="C352" s="143"/>
      <c r="E352" s="143"/>
      <c r="G352" s="143"/>
      <c r="I352" s="143"/>
    </row>
    <row r="353" spans="1:9" ht="12.75">
      <c r="A353" s="16"/>
      <c r="C353" s="143"/>
      <c r="E353" s="143"/>
      <c r="G353" s="143"/>
      <c r="I353" s="143"/>
    </row>
    <row r="354" spans="1:9" ht="12.75">
      <c r="A354" s="16"/>
      <c r="C354" s="143"/>
      <c r="E354" s="143"/>
      <c r="G354" s="143"/>
      <c r="I354" s="143"/>
    </row>
    <row r="355" spans="1:9" ht="12.75">
      <c r="A355" s="16"/>
      <c r="C355" s="143"/>
      <c r="E355" s="143"/>
      <c r="G355" s="143"/>
      <c r="I355" s="143"/>
    </row>
    <row r="356" spans="1:9" ht="12.75">
      <c r="A356" s="16"/>
      <c r="C356" s="143"/>
      <c r="E356" s="143"/>
      <c r="G356" s="143"/>
      <c r="I356" s="143"/>
    </row>
    <row r="357" spans="1:9" ht="12.75">
      <c r="A357" s="16"/>
      <c r="C357" s="143"/>
      <c r="E357" s="143"/>
      <c r="G357" s="143"/>
      <c r="I357" s="143"/>
    </row>
    <row r="358" spans="1:9" ht="12.75">
      <c r="A358" s="16"/>
      <c r="C358" s="143"/>
      <c r="E358" s="143"/>
      <c r="G358" s="143"/>
      <c r="I358" s="143"/>
    </row>
    <row r="359" spans="1:9" ht="12.75">
      <c r="A359" s="16"/>
      <c r="C359" s="143"/>
      <c r="E359" s="143"/>
      <c r="G359" s="143"/>
      <c r="I359" s="143"/>
    </row>
    <row r="360" spans="1:9" ht="12.75">
      <c r="A360" s="16"/>
      <c r="C360" s="143"/>
      <c r="E360" s="143"/>
      <c r="G360" s="143"/>
      <c r="I360" s="143"/>
    </row>
    <row r="361" spans="1:9" ht="12.75">
      <c r="A361" s="16"/>
      <c r="C361" s="143"/>
      <c r="E361" s="143"/>
      <c r="G361" s="143"/>
      <c r="I361" s="143"/>
    </row>
    <row r="362" spans="1:9" ht="12.75">
      <c r="A362" s="16"/>
      <c r="C362" s="143"/>
      <c r="E362" s="143"/>
      <c r="G362" s="143"/>
      <c r="I362" s="143"/>
    </row>
    <row r="363" spans="1:9" ht="12.75">
      <c r="A363" s="16"/>
      <c r="C363" s="143"/>
      <c r="E363" s="143"/>
      <c r="G363" s="143"/>
      <c r="I363" s="143"/>
    </row>
    <row r="364" spans="1:9" ht="12.75">
      <c r="A364" s="16"/>
      <c r="C364" s="143"/>
      <c r="E364" s="143"/>
      <c r="G364" s="143"/>
      <c r="I364" s="143"/>
    </row>
    <row r="365" spans="1:9" ht="12.75">
      <c r="A365" s="16"/>
      <c r="C365" s="143"/>
      <c r="E365" s="143"/>
      <c r="G365" s="143"/>
      <c r="I365" s="143"/>
    </row>
    <row r="366" spans="1:9" ht="12.75">
      <c r="A366" s="16"/>
      <c r="C366" s="143"/>
      <c r="E366" s="143"/>
      <c r="G366" s="143"/>
      <c r="I366" s="143"/>
    </row>
    <row r="367" spans="1:9" ht="12.75">
      <c r="A367" s="16"/>
      <c r="C367" s="143"/>
      <c r="E367" s="143"/>
      <c r="G367" s="143"/>
      <c r="I367" s="143"/>
    </row>
    <row r="368" spans="1:9" ht="12.75">
      <c r="A368" s="16"/>
      <c r="C368" s="143"/>
      <c r="E368" s="143"/>
      <c r="G368" s="143"/>
      <c r="I368" s="143"/>
    </row>
    <row r="369" spans="1:9" ht="12.75">
      <c r="A369" s="16"/>
      <c r="C369" s="143"/>
      <c r="E369" s="143"/>
      <c r="G369" s="143"/>
      <c r="I369" s="143"/>
    </row>
    <row r="370" spans="1:9" ht="12.75">
      <c r="A370" s="16"/>
      <c r="C370" s="143"/>
      <c r="E370" s="143"/>
      <c r="G370" s="143"/>
      <c r="I370" s="143"/>
    </row>
    <row r="371" spans="1:9" ht="12.75">
      <c r="A371" s="16"/>
      <c r="C371" s="143"/>
      <c r="E371" s="143"/>
      <c r="G371" s="143"/>
      <c r="I371" s="143"/>
    </row>
    <row r="372" spans="1:9" ht="12.75">
      <c r="A372" s="16"/>
      <c r="C372" s="143"/>
      <c r="E372" s="143"/>
      <c r="G372" s="143"/>
      <c r="I372" s="143"/>
    </row>
    <row r="373" spans="1:9" ht="12.75">
      <c r="A373" s="16"/>
      <c r="C373" s="143"/>
      <c r="E373" s="143"/>
      <c r="G373" s="143"/>
      <c r="I373" s="143"/>
    </row>
    <row r="374" spans="1:9" ht="12.75">
      <c r="A374" s="16"/>
      <c r="C374" s="143"/>
      <c r="E374" s="143"/>
      <c r="G374" s="143"/>
      <c r="I374" s="143"/>
    </row>
    <row r="375" spans="1:9" ht="12.75">
      <c r="A375" s="16"/>
      <c r="C375" s="143"/>
      <c r="E375" s="143"/>
      <c r="G375" s="143"/>
      <c r="I375" s="143"/>
    </row>
    <row r="376" spans="1:9" ht="12.75">
      <c r="A376" s="16"/>
      <c r="C376" s="143"/>
      <c r="E376" s="143"/>
      <c r="G376" s="143"/>
      <c r="I376" s="143"/>
    </row>
    <row r="377" spans="1:9" ht="12.75">
      <c r="A377" s="16"/>
      <c r="C377" s="143"/>
      <c r="E377" s="143"/>
      <c r="G377" s="143"/>
      <c r="I377" s="143"/>
    </row>
    <row r="378" spans="1:9" ht="12.75">
      <c r="A378" s="16"/>
      <c r="C378" s="143"/>
      <c r="E378" s="143"/>
      <c r="G378" s="143"/>
      <c r="I378" s="143"/>
    </row>
    <row r="379" spans="1:9" ht="12.75">
      <c r="A379" s="16"/>
      <c r="C379" s="143"/>
      <c r="E379" s="143"/>
      <c r="G379" s="143"/>
      <c r="I379" s="143"/>
    </row>
    <row r="380" spans="1:9" ht="12.75">
      <c r="A380" s="16"/>
      <c r="C380" s="143"/>
      <c r="E380" s="143"/>
      <c r="G380" s="143"/>
      <c r="I380" s="143"/>
    </row>
    <row r="381" spans="1:9" ht="12.75">
      <c r="A381" s="16"/>
      <c r="C381" s="143"/>
      <c r="E381" s="143"/>
      <c r="G381" s="143"/>
      <c r="I381" s="143"/>
    </row>
    <row r="382" spans="1:9" ht="12.75">
      <c r="A382" s="16"/>
      <c r="C382" s="143"/>
      <c r="E382" s="143"/>
      <c r="G382" s="143"/>
      <c r="I382" s="143"/>
    </row>
    <row r="383" spans="1:9" ht="12.75">
      <c r="A383" s="16"/>
      <c r="C383" s="143"/>
      <c r="E383" s="143"/>
      <c r="G383" s="143"/>
      <c r="I383" s="143"/>
    </row>
    <row r="384" spans="1:9" ht="12.75">
      <c r="A384" s="16"/>
      <c r="C384" s="143"/>
      <c r="E384" s="143"/>
      <c r="G384" s="143"/>
      <c r="I384" s="143"/>
    </row>
    <row r="385" spans="1:9" ht="12.75">
      <c r="A385" s="16"/>
      <c r="C385" s="143"/>
      <c r="E385" s="143"/>
      <c r="G385" s="143"/>
      <c r="I385" s="143"/>
    </row>
    <row r="386" spans="1:9" ht="12.75">
      <c r="A386" s="16"/>
      <c r="C386" s="143"/>
      <c r="E386" s="143"/>
      <c r="G386" s="143"/>
      <c r="I386" s="143"/>
    </row>
    <row r="387" spans="1:9" ht="12.75">
      <c r="A387" s="16"/>
      <c r="C387" s="143"/>
      <c r="E387" s="143"/>
      <c r="G387" s="143"/>
      <c r="I387" s="143"/>
    </row>
    <row r="388" spans="1:9" ht="12.75">
      <c r="A388" s="16"/>
      <c r="C388" s="143"/>
      <c r="E388" s="143"/>
      <c r="G388" s="143"/>
      <c r="I388" s="143"/>
    </row>
    <row r="389" spans="1:9" ht="12.75">
      <c r="A389" s="16"/>
      <c r="C389" s="143"/>
      <c r="E389" s="143"/>
      <c r="G389" s="143"/>
      <c r="I389" s="143"/>
    </row>
    <row r="390" spans="1:9" ht="12.75">
      <c r="A390" s="16"/>
      <c r="C390" s="143"/>
      <c r="E390" s="143"/>
      <c r="G390" s="143"/>
      <c r="I390" s="143"/>
    </row>
    <row r="391" spans="1:9" ht="12.75">
      <c r="A391" s="16"/>
      <c r="C391" s="143"/>
      <c r="E391" s="143"/>
      <c r="G391" s="143"/>
      <c r="I391" s="143"/>
    </row>
    <row r="392" spans="1:9" ht="12.75">
      <c r="A392" s="16"/>
      <c r="C392" s="143"/>
      <c r="E392" s="143"/>
      <c r="G392" s="143"/>
      <c r="I392" s="143"/>
    </row>
    <row r="393" spans="1:9" ht="12.75">
      <c r="A393" s="16"/>
      <c r="C393" s="143"/>
      <c r="E393" s="143"/>
      <c r="G393" s="143"/>
      <c r="I393" s="143"/>
    </row>
    <row r="394" spans="1:9" ht="12.75">
      <c r="A394" s="16"/>
      <c r="C394" s="143"/>
      <c r="E394" s="143"/>
      <c r="G394" s="143"/>
      <c r="I394" s="143"/>
    </row>
    <row r="395" spans="1:9" ht="12.75">
      <c r="A395" s="16"/>
      <c r="C395" s="143"/>
      <c r="E395" s="143"/>
      <c r="G395" s="143"/>
      <c r="I395" s="143"/>
    </row>
    <row r="396" spans="1:9" ht="12.75">
      <c r="A396" s="16"/>
      <c r="C396" s="143"/>
      <c r="E396" s="143"/>
      <c r="G396" s="143"/>
      <c r="I396" s="143"/>
    </row>
    <row r="397" spans="1:9" ht="12.75">
      <c r="A397" s="16"/>
      <c r="C397" s="143"/>
      <c r="E397" s="143"/>
      <c r="G397" s="143"/>
      <c r="I397" s="143"/>
    </row>
    <row r="398" spans="1:9" ht="12.75">
      <c r="A398" s="16"/>
      <c r="C398" s="143"/>
      <c r="E398" s="143"/>
      <c r="G398" s="143"/>
      <c r="I398" s="143"/>
    </row>
    <row r="399" spans="1:9" ht="12.75">
      <c r="A399" s="16"/>
      <c r="C399" s="143"/>
      <c r="E399" s="143"/>
      <c r="G399" s="143"/>
      <c r="I399" s="143"/>
    </row>
    <row r="400" spans="1:9" ht="12.75">
      <c r="A400" s="16"/>
      <c r="C400" s="143"/>
      <c r="E400" s="143"/>
      <c r="G400" s="143"/>
      <c r="I400" s="143"/>
    </row>
    <row r="401" spans="1:9" ht="12.75">
      <c r="A401" s="16"/>
      <c r="C401" s="143"/>
      <c r="E401" s="143"/>
      <c r="G401" s="143"/>
      <c r="I401" s="143"/>
    </row>
    <row r="402" spans="1:9" ht="12.75">
      <c r="A402" s="16"/>
      <c r="C402" s="143"/>
      <c r="E402" s="143"/>
      <c r="G402" s="143"/>
      <c r="I402" s="143"/>
    </row>
    <row r="403" spans="1:9" ht="12.75">
      <c r="A403" s="16"/>
      <c r="C403" s="143"/>
      <c r="E403" s="143"/>
      <c r="G403" s="143"/>
      <c r="I403" s="143"/>
    </row>
    <row r="404" spans="1:9" ht="12.75">
      <c r="A404" s="16"/>
      <c r="C404" s="143"/>
      <c r="E404" s="143"/>
      <c r="G404" s="143"/>
      <c r="I404" s="143"/>
    </row>
    <row r="405" spans="1:9" ht="12.75">
      <c r="A405" s="16"/>
      <c r="C405" s="143"/>
      <c r="E405" s="143"/>
      <c r="G405" s="143"/>
      <c r="I405" s="143"/>
    </row>
    <row r="406" spans="1:9" ht="12.75">
      <c r="A406" s="16"/>
      <c r="C406" s="143"/>
      <c r="E406" s="143"/>
      <c r="G406" s="143"/>
      <c r="I406" s="143"/>
    </row>
    <row r="407" spans="1:9" ht="12.75">
      <c r="A407" s="16"/>
      <c r="C407" s="143"/>
      <c r="E407" s="143"/>
      <c r="G407" s="143"/>
      <c r="I407" s="143"/>
    </row>
    <row r="408" spans="1:9" ht="12.75">
      <c r="A408" s="16"/>
      <c r="C408" s="143"/>
      <c r="E408" s="143"/>
      <c r="G408" s="143"/>
      <c r="I408" s="143"/>
    </row>
    <row r="409" spans="1:9" ht="12.75">
      <c r="A409" s="16"/>
      <c r="C409" s="143"/>
      <c r="E409" s="143"/>
      <c r="G409" s="143"/>
      <c r="I409" s="143"/>
    </row>
    <row r="410" spans="1:9" ht="12.75">
      <c r="A410" s="16"/>
      <c r="C410" s="143"/>
      <c r="E410" s="143"/>
      <c r="G410" s="143"/>
      <c r="I410" s="143"/>
    </row>
    <row r="411" spans="1:9" ht="12.75">
      <c r="A411" s="16"/>
      <c r="C411" s="143"/>
      <c r="E411" s="143"/>
      <c r="G411" s="143"/>
      <c r="I411" s="143"/>
    </row>
    <row r="412" spans="1:9" ht="12.75">
      <c r="A412" s="16"/>
      <c r="C412" s="143"/>
      <c r="E412" s="143"/>
      <c r="G412" s="143"/>
      <c r="I412" s="143"/>
    </row>
    <row r="413" spans="1:9" ht="12.75">
      <c r="A413" s="16"/>
      <c r="C413" s="143"/>
      <c r="E413" s="143"/>
      <c r="G413" s="143"/>
      <c r="I413" s="143"/>
    </row>
    <row r="414" spans="1:9" ht="12.75">
      <c r="A414" s="16"/>
      <c r="C414" s="143"/>
      <c r="E414" s="143"/>
      <c r="G414" s="143"/>
      <c r="I414" s="143"/>
    </row>
    <row r="415" spans="1:9" ht="12.75">
      <c r="A415" s="16"/>
      <c r="C415" s="143"/>
      <c r="E415" s="143"/>
      <c r="G415" s="143"/>
      <c r="I415" s="143"/>
    </row>
    <row r="416" spans="1:9" ht="12.75">
      <c r="A416" s="16"/>
      <c r="C416" s="143"/>
      <c r="E416" s="143"/>
      <c r="G416" s="143"/>
      <c r="I416" s="143"/>
    </row>
    <row r="417" spans="1:9" ht="12.75">
      <c r="A417" s="16"/>
      <c r="C417" s="143"/>
      <c r="E417" s="143"/>
      <c r="G417" s="143"/>
      <c r="I417" s="143"/>
    </row>
    <row r="418" spans="1:9" ht="12.75">
      <c r="A418" s="16"/>
      <c r="C418" s="143"/>
      <c r="E418" s="143"/>
      <c r="G418" s="143"/>
      <c r="I418" s="143"/>
    </row>
    <row r="419" spans="1:9" ht="12.75">
      <c r="A419" s="16"/>
      <c r="C419" s="143"/>
      <c r="E419" s="143"/>
      <c r="G419" s="143"/>
      <c r="I419" s="143"/>
    </row>
    <row r="420" spans="1:9" ht="12.75">
      <c r="A420" s="16"/>
      <c r="C420" s="143"/>
      <c r="E420" s="143"/>
      <c r="G420" s="143"/>
      <c r="I420" s="143"/>
    </row>
    <row r="421" spans="1:9" ht="12.75">
      <c r="A421" s="16"/>
      <c r="C421" s="143"/>
      <c r="E421" s="143"/>
      <c r="G421" s="143"/>
      <c r="I421" s="143"/>
    </row>
    <row r="422" spans="1:9" ht="12.75">
      <c r="A422" s="16"/>
      <c r="C422" s="143"/>
      <c r="E422" s="143"/>
      <c r="G422" s="143"/>
      <c r="I422" s="143"/>
    </row>
    <row r="423" spans="1:9" ht="12.75">
      <c r="A423" s="16"/>
      <c r="C423" s="143"/>
      <c r="E423" s="143"/>
      <c r="G423" s="143"/>
      <c r="I423" s="143"/>
    </row>
    <row r="424" spans="1:9" ht="12.75">
      <c r="A424" s="16"/>
      <c r="C424" s="143"/>
      <c r="E424" s="143"/>
      <c r="G424" s="143"/>
      <c r="I424" s="143"/>
    </row>
    <row r="425" spans="1:9" ht="12.75">
      <c r="A425" s="16"/>
      <c r="C425" s="143"/>
      <c r="E425" s="143"/>
      <c r="G425" s="143"/>
      <c r="I425" s="143"/>
    </row>
    <row r="426" spans="1:9" ht="12.75">
      <c r="A426" s="16"/>
      <c r="C426" s="143"/>
      <c r="E426" s="143"/>
      <c r="G426" s="143"/>
      <c r="I426" s="143"/>
    </row>
    <row r="427" spans="1:9" ht="12.75">
      <c r="A427" s="16"/>
      <c r="C427" s="143"/>
      <c r="E427" s="143"/>
      <c r="G427" s="143"/>
      <c r="I427" s="143"/>
    </row>
    <row r="428" spans="1:9" ht="12.75">
      <c r="A428" s="16"/>
      <c r="C428" s="143"/>
      <c r="E428" s="143"/>
      <c r="G428" s="143"/>
      <c r="I428" s="143"/>
    </row>
    <row r="429" spans="1:9" ht="12.75">
      <c r="A429" s="16"/>
      <c r="C429" s="143"/>
      <c r="E429" s="143"/>
      <c r="G429" s="143"/>
      <c r="I429" s="143"/>
    </row>
    <row r="430" spans="1:9" ht="12.75">
      <c r="A430" s="16"/>
      <c r="C430" s="143"/>
      <c r="E430" s="143"/>
      <c r="G430" s="143"/>
      <c r="I430" s="143"/>
    </row>
    <row r="431" spans="1:9" ht="12.75">
      <c r="A431" s="16"/>
      <c r="C431" s="143"/>
      <c r="E431" s="143"/>
      <c r="G431" s="143"/>
      <c r="I431" s="143"/>
    </row>
    <row r="432" spans="1:9" ht="12.75">
      <c r="A432" s="16"/>
      <c r="C432" s="143"/>
      <c r="E432" s="143"/>
      <c r="G432" s="143"/>
      <c r="I432" s="143"/>
    </row>
    <row r="433" spans="1:9" ht="12.75">
      <c r="A433" s="16"/>
      <c r="C433" s="143"/>
      <c r="E433" s="143"/>
      <c r="G433" s="143"/>
      <c r="I433" s="143"/>
    </row>
    <row r="434" spans="1:9" ht="12.75">
      <c r="A434" s="16"/>
      <c r="C434" s="143"/>
      <c r="E434" s="143"/>
      <c r="G434" s="143"/>
      <c r="I434" s="143"/>
    </row>
    <row r="435" spans="1:9" ht="12.75">
      <c r="A435" s="16"/>
      <c r="C435" s="143"/>
      <c r="E435" s="143"/>
      <c r="G435" s="143"/>
      <c r="I435" s="143"/>
    </row>
    <row r="436" spans="1:9" ht="12.75">
      <c r="A436" s="16"/>
      <c r="C436" s="143"/>
      <c r="E436" s="143"/>
      <c r="G436" s="143"/>
      <c r="I436" s="143"/>
    </row>
    <row r="437" spans="1:9" ht="12.75">
      <c r="A437" s="16"/>
      <c r="C437" s="143"/>
      <c r="E437" s="143"/>
      <c r="G437" s="143"/>
      <c r="I437" s="143"/>
    </row>
    <row r="438" spans="1:9" ht="12.75">
      <c r="A438" s="16"/>
      <c r="C438" s="143"/>
      <c r="E438" s="143"/>
      <c r="G438" s="143"/>
      <c r="I438" s="143"/>
    </row>
    <row r="439" spans="1:9" ht="12.75">
      <c r="A439" s="16"/>
      <c r="C439" s="143"/>
      <c r="E439" s="143"/>
      <c r="G439" s="143"/>
      <c r="I439" s="143"/>
    </row>
    <row r="440" spans="1:9" ht="12.75">
      <c r="A440" s="16"/>
      <c r="C440" s="143"/>
      <c r="E440" s="143"/>
      <c r="G440" s="143"/>
      <c r="I440" s="143"/>
    </row>
    <row r="441" spans="1:9" ht="12.75">
      <c r="A441" s="16"/>
      <c r="C441" s="143"/>
      <c r="E441" s="143"/>
      <c r="G441" s="143"/>
      <c r="I441" s="143"/>
    </row>
    <row r="442" spans="1:9" ht="12.75">
      <c r="A442" s="16"/>
      <c r="C442" s="143"/>
      <c r="E442" s="143"/>
      <c r="G442" s="143"/>
      <c r="I442" s="143"/>
    </row>
    <row r="443" spans="1:9" ht="12.75">
      <c r="A443" s="16"/>
      <c r="C443" s="143"/>
      <c r="E443" s="143"/>
      <c r="G443" s="143"/>
      <c r="I443" s="143"/>
    </row>
    <row r="444" spans="1:9" ht="12.75">
      <c r="A444" s="16"/>
      <c r="C444" s="143"/>
      <c r="E444" s="143"/>
      <c r="G444" s="143"/>
      <c r="I444" s="143"/>
    </row>
    <row r="445" spans="1:9" ht="12.75">
      <c r="A445" s="16"/>
      <c r="C445" s="143"/>
      <c r="E445" s="143"/>
      <c r="G445" s="143"/>
      <c r="I445" s="143"/>
    </row>
    <row r="446" spans="1:9" ht="12.75">
      <c r="A446" s="16"/>
      <c r="C446" s="143"/>
      <c r="E446" s="143"/>
      <c r="G446" s="143"/>
      <c r="I446" s="143"/>
    </row>
    <row r="447" spans="1:9" ht="12.75">
      <c r="A447" s="16"/>
      <c r="C447" s="143"/>
      <c r="E447" s="143"/>
      <c r="G447" s="143"/>
      <c r="I447" s="143"/>
    </row>
    <row r="448" spans="1:9" ht="12.75">
      <c r="A448" s="16"/>
      <c r="C448" s="143"/>
      <c r="E448" s="143"/>
      <c r="G448" s="143"/>
      <c r="I448" s="143"/>
    </row>
    <row r="449" spans="1:9" ht="12.75">
      <c r="A449" s="16"/>
      <c r="C449" s="143"/>
      <c r="E449" s="143"/>
      <c r="G449" s="143"/>
      <c r="I449" s="143"/>
    </row>
    <row r="450" spans="1:9" ht="12.75">
      <c r="A450" s="16"/>
      <c r="C450" s="143"/>
      <c r="E450" s="143"/>
      <c r="G450" s="143"/>
      <c r="I450" s="143"/>
    </row>
    <row r="451" spans="1:9" ht="12.75">
      <c r="A451" s="16"/>
      <c r="C451" s="143"/>
      <c r="E451" s="143"/>
      <c r="G451" s="143"/>
      <c r="I451" s="143"/>
    </row>
    <row r="452" spans="1:9" ht="12.75">
      <c r="A452" s="16"/>
      <c r="C452" s="143"/>
      <c r="E452" s="143"/>
      <c r="G452" s="143"/>
      <c r="I452" s="143"/>
    </row>
    <row r="453" spans="1:9" ht="12.75">
      <c r="A453" s="16"/>
      <c r="C453" s="143"/>
      <c r="E453" s="143"/>
      <c r="G453" s="143"/>
      <c r="I453" s="143"/>
    </row>
    <row r="454" spans="1:9" ht="12.75">
      <c r="A454" s="16"/>
      <c r="C454" s="143"/>
      <c r="E454" s="143"/>
      <c r="G454" s="143"/>
      <c r="I454" s="143"/>
    </row>
    <row r="455" spans="1:9" ht="12.75">
      <c r="A455" s="16"/>
      <c r="C455" s="143"/>
      <c r="E455" s="143"/>
      <c r="G455" s="143"/>
      <c r="I455" s="143"/>
    </row>
    <row r="456" spans="1:9" ht="12.75">
      <c r="A456" s="16"/>
      <c r="C456" s="143"/>
      <c r="E456" s="143"/>
      <c r="G456" s="143"/>
      <c r="I456" s="143"/>
    </row>
    <row r="457" spans="1:9" ht="12.75">
      <c r="A457" s="16"/>
      <c r="C457" s="143"/>
      <c r="E457" s="143"/>
      <c r="G457" s="143"/>
      <c r="I457" s="143"/>
    </row>
    <row r="458" spans="1:9" ht="12.75">
      <c r="A458" s="16"/>
      <c r="C458" s="143"/>
      <c r="E458" s="143"/>
      <c r="G458" s="143"/>
      <c r="I458" s="143"/>
    </row>
    <row r="459" spans="1:9" ht="12.75">
      <c r="A459" s="16"/>
      <c r="C459" s="143"/>
      <c r="E459" s="143"/>
      <c r="G459" s="143"/>
      <c r="I459" s="143"/>
    </row>
    <row r="460" spans="1:9" ht="12.75">
      <c r="A460" s="16"/>
      <c r="C460" s="143"/>
      <c r="E460" s="143"/>
      <c r="G460" s="143"/>
      <c r="I460" s="143"/>
    </row>
    <row r="461" spans="1:9" ht="12.75">
      <c r="A461" s="16"/>
      <c r="C461" s="143"/>
      <c r="E461" s="143"/>
      <c r="G461" s="143"/>
      <c r="I461" s="143"/>
    </row>
    <row r="462" spans="1:9" ht="12.75">
      <c r="A462" s="16"/>
      <c r="C462" s="143"/>
      <c r="E462" s="143"/>
      <c r="G462" s="143"/>
      <c r="I462" s="143"/>
    </row>
    <row r="463" spans="1:9" ht="12.75">
      <c r="A463" s="16"/>
      <c r="C463" s="143"/>
      <c r="E463" s="143"/>
      <c r="G463" s="143"/>
      <c r="I463" s="143"/>
    </row>
    <row r="464" spans="1:9" ht="12.75">
      <c r="A464" s="16"/>
      <c r="C464" s="143"/>
      <c r="E464" s="143"/>
      <c r="G464" s="143"/>
      <c r="I464" s="143"/>
    </row>
    <row r="465" spans="1:9" ht="12.75">
      <c r="A465" s="16"/>
      <c r="C465" s="143"/>
      <c r="E465" s="143"/>
      <c r="G465" s="143"/>
      <c r="I465" s="143"/>
    </row>
    <row r="466" spans="1:9" ht="12.75">
      <c r="A466" s="16"/>
      <c r="C466" s="143"/>
      <c r="E466" s="143"/>
      <c r="G466" s="143"/>
      <c r="I466" s="143"/>
    </row>
    <row r="467" spans="1:9" ht="12.75">
      <c r="A467" s="16"/>
      <c r="C467" s="143"/>
      <c r="E467" s="143"/>
      <c r="G467" s="143"/>
      <c r="I467" s="143"/>
    </row>
    <row r="468" spans="1:9" ht="12.75">
      <c r="A468" s="16"/>
      <c r="C468" s="143"/>
      <c r="E468" s="143"/>
      <c r="G468" s="143"/>
      <c r="I468" s="143"/>
    </row>
    <row r="469" spans="1:9" ht="12.75">
      <c r="A469" s="16"/>
      <c r="C469" s="143"/>
      <c r="E469" s="143"/>
      <c r="G469" s="143"/>
      <c r="I469" s="143"/>
    </row>
    <row r="470" spans="1:9" ht="12.75">
      <c r="A470" s="16"/>
      <c r="C470" s="143"/>
      <c r="E470" s="143"/>
      <c r="G470" s="143"/>
      <c r="I470" s="143"/>
    </row>
    <row r="471" spans="1:9" ht="12.75">
      <c r="A471" s="16"/>
      <c r="C471" s="143"/>
      <c r="E471" s="143"/>
      <c r="G471" s="143"/>
      <c r="I471" s="143"/>
    </row>
    <row r="472" spans="1:9" ht="12.75">
      <c r="A472" s="16"/>
      <c r="C472" s="143"/>
      <c r="E472" s="143"/>
      <c r="G472" s="143"/>
      <c r="I472" s="143"/>
    </row>
    <row r="473" spans="1:9" ht="12.75">
      <c r="A473" s="16"/>
      <c r="C473" s="143"/>
      <c r="E473" s="143"/>
      <c r="G473" s="143"/>
      <c r="I473" s="143"/>
    </row>
    <row r="474" spans="1:9" ht="12.75">
      <c r="A474" s="16"/>
      <c r="C474" s="143"/>
      <c r="E474" s="143"/>
      <c r="G474" s="143"/>
      <c r="I474" s="143"/>
    </row>
    <row r="475" spans="1:9" ht="12.75">
      <c r="A475" s="16"/>
      <c r="C475" s="143"/>
      <c r="E475" s="143"/>
      <c r="G475" s="143"/>
      <c r="I475" s="143"/>
    </row>
    <row r="476" spans="1:9" ht="12.75">
      <c r="A476" s="16"/>
      <c r="C476" s="143"/>
      <c r="E476" s="143"/>
      <c r="G476" s="143"/>
      <c r="I476" s="143"/>
    </row>
    <row r="477" spans="1:9" ht="12.75">
      <c r="A477" s="16"/>
      <c r="C477" s="143"/>
      <c r="E477" s="143"/>
      <c r="G477" s="143"/>
      <c r="I477" s="143"/>
    </row>
    <row r="478" spans="1:9" ht="12.75">
      <c r="A478" s="16"/>
      <c r="C478" s="143"/>
      <c r="E478" s="143"/>
      <c r="G478" s="143"/>
      <c r="I478" s="143"/>
    </row>
    <row r="479" spans="1:9" ht="12.75">
      <c r="A479" s="16"/>
      <c r="C479" s="143"/>
      <c r="E479" s="143"/>
      <c r="G479" s="143"/>
      <c r="I479" s="143"/>
    </row>
    <row r="480" spans="1:9" ht="12.75">
      <c r="A480" s="16"/>
      <c r="C480" s="143"/>
      <c r="E480" s="143"/>
      <c r="G480" s="143"/>
      <c r="I480" s="143"/>
    </row>
    <row r="481" spans="1:9" ht="12.75">
      <c r="A481" s="16"/>
      <c r="C481" s="143"/>
      <c r="E481" s="143"/>
      <c r="G481" s="143"/>
      <c r="I481" s="143"/>
    </row>
    <row r="482" spans="1:9" ht="12.75">
      <c r="A482" s="16"/>
      <c r="C482" s="143"/>
      <c r="E482" s="143"/>
      <c r="G482" s="143"/>
      <c r="I482" s="143"/>
    </row>
    <row r="483" spans="1:9" ht="12.75">
      <c r="A483" s="16"/>
      <c r="C483" s="143"/>
      <c r="E483" s="143"/>
      <c r="G483" s="143"/>
      <c r="I483" s="143"/>
    </row>
    <row r="484" spans="1:9" ht="12.75">
      <c r="A484" s="16"/>
      <c r="C484" s="143"/>
      <c r="E484" s="143"/>
      <c r="G484" s="143"/>
      <c r="I484" s="143"/>
    </row>
    <row r="485" spans="1:9" ht="12.75">
      <c r="A485" s="16"/>
      <c r="C485" s="143"/>
      <c r="E485" s="143"/>
      <c r="G485" s="143"/>
      <c r="I485" s="143"/>
    </row>
    <row r="486" spans="1:9" ht="12.75">
      <c r="A486" s="16"/>
      <c r="C486" s="143"/>
      <c r="E486" s="143"/>
      <c r="G486" s="143"/>
      <c r="I486" s="143"/>
    </row>
    <row r="487" spans="1:9" ht="12.75">
      <c r="A487" s="16"/>
      <c r="C487" s="143"/>
      <c r="E487" s="143"/>
      <c r="G487" s="143"/>
      <c r="I487" s="143"/>
    </row>
    <row r="488" spans="1:9" ht="12.75">
      <c r="A488" s="16"/>
      <c r="C488" s="143"/>
      <c r="E488" s="143"/>
      <c r="G488" s="143"/>
      <c r="I488" s="143"/>
    </row>
    <row r="489" spans="1:9" ht="12.75">
      <c r="A489" s="16"/>
      <c r="C489" s="143"/>
      <c r="E489" s="143"/>
      <c r="G489" s="143"/>
      <c r="I489" s="143"/>
    </row>
    <row r="490" spans="1:9" ht="12.75">
      <c r="A490" s="16"/>
      <c r="C490" s="143"/>
      <c r="E490" s="143"/>
      <c r="G490" s="143"/>
      <c r="I490" s="143"/>
    </row>
    <row r="491" spans="1:9" ht="12.75">
      <c r="A491" s="16"/>
      <c r="C491" s="143"/>
      <c r="E491" s="143"/>
      <c r="G491" s="143"/>
      <c r="I491" s="143"/>
    </row>
    <row r="492" spans="1:9" ht="12.75">
      <c r="A492" s="16"/>
      <c r="C492" s="143"/>
      <c r="E492" s="143"/>
      <c r="G492" s="143"/>
      <c r="I492" s="143"/>
    </row>
    <row r="493" spans="1:9" ht="12.75">
      <c r="A493" s="16"/>
      <c r="C493" s="143"/>
      <c r="E493" s="143"/>
      <c r="G493" s="143"/>
      <c r="I493" s="143"/>
    </row>
    <row r="494" spans="1:9" ht="12.75">
      <c r="A494" s="16"/>
      <c r="C494" s="143"/>
      <c r="E494" s="143"/>
      <c r="G494" s="143"/>
      <c r="I494" s="143"/>
    </row>
    <row r="495" spans="1:9" ht="12.75">
      <c r="A495" s="16"/>
      <c r="C495" s="143"/>
      <c r="E495" s="143"/>
      <c r="G495" s="143"/>
      <c r="I495" s="143"/>
    </row>
    <row r="496" spans="1:9" ht="12.75">
      <c r="A496" s="16"/>
      <c r="C496" s="143"/>
      <c r="E496" s="143"/>
      <c r="G496" s="143"/>
      <c r="I496" s="143"/>
    </row>
    <row r="497" spans="1:9" ht="12.75">
      <c r="A497" s="16"/>
      <c r="C497" s="143"/>
      <c r="E497" s="143"/>
      <c r="G497" s="143"/>
      <c r="I497" s="143"/>
    </row>
    <row r="498" spans="1:9" ht="12.75">
      <c r="A498" s="16"/>
      <c r="C498" s="143"/>
      <c r="E498" s="143"/>
      <c r="G498" s="143"/>
      <c r="I498" s="143"/>
    </row>
    <row r="499" spans="1:9" ht="12.75">
      <c r="A499" s="16"/>
      <c r="C499" s="143"/>
      <c r="E499" s="143"/>
      <c r="G499" s="143"/>
      <c r="I499" s="143"/>
    </row>
    <row r="500" spans="1:9" ht="12.75">
      <c r="A500" s="16"/>
      <c r="C500" s="143"/>
      <c r="E500" s="143"/>
      <c r="G500" s="143"/>
      <c r="I500" s="143"/>
    </row>
    <row r="501" spans="1:9" ht="12.75">
      <c r="A501" s="16"/>
      <c r="C501" s="143"/>
      <c r="E501" s="143"/>
      <c r="G501" s="143"/>
      <c r="I501" s="143"/>
    </row>
    <row r="502" spans="1:9" ht="12.75">
      <c r="A502" s="16"/>
      <c r="C502" s="143"/>
      <c r="E502" s="143"/>
      <c r="G502" s="143"/>
      <c r="I502" s="143"/>
    </row>
    <row r="503" spans="1:9" ht="12.75">
      <c r="A503" s="16"/>
      <c r="C503" s="143"/>
      <c r="E503" s="143"/>
      <c r="G503" s="143"/>
      <c r="I503" s="143"/>
    </row>
    <row r="504" spans="1:9" ht="12.75">
      <c r="A504" s="16"/>
      <c r="C504" s="143"/>
      <c r="E504" s="143"/>
      <c r="G504" s="143"/>
      <c r="I504" s="143"/>
    </row>
    <row r="505" spans="1:9" ht="12.75">
      <c r="A505" s="16"/>
      <c r="C505" s="143"/>
      <c r="E505" s="143"/>
      <c r="G505" s="143"/>
      <c r="I505" s="143"/>
    </row>
    <row r="506" spans="1:9" ht="12.75">
      <c r="A506" s="16"/>
      <c r="C506" s="143"/>
      <c r="E506" s="143"/>
      <c r="G506" s="143"/>
      <c r="I506" s="143"/>
    </row>
    <row r="507" spans="1:9" ht="12.75">
      <c r="A507" s="16"/>
      <c r="C507" s="143"/>
      <c r="E507" s="143"/>
      <c r="G507" s="143"/>
      <c r="I507" s="143"/>
    </row>
    <row r="508" spans="1:9" ht="12.75">
      <c r="A508" s="16"/>
      <c r="C508" s="143"/>
      <c r="E508" s="143"/>
      <c r="G508" s="143"/>
      <c r="I508" s="143"/>
    </row>
    <row r="509" spans="1:9" ht="12.75">
      <c r="A509" s="16"/>
      <c r="C509" s="143"/>
      <c r="E509" s="143"/>
      <c r="G509" s="143"/>
      <c r="I509" s="143"/>
    </row>
    <row r="510" spans="1:9" ht="12.75">
      <c r="A510" s="16"/>
      <c r="C510" s="143"/>
      <c r="E510" s="143"/>
      <c r="G510" s="143"/>
      <c r="I510" s="143"/>
    </row>
    <row r="511" spans="1:9" ht="12.75">
      <c r="A511" s="16"/>
      <c r="C511" s="143"/>
      <c r="E511" s="143"/>
      <c r="G511" s="143"/>
      <c r="I511" s="143"/>
    </row>
    <row r="512" spans="1:9" ht="12.75">
      <c r="A512" s="16"/>
      <c r="C512" s="143"/>
      <c r="E512" s="143"/>
      <c r="G512" s="143"/>
      <c r="I512" s="143"/>
    </row>
    <row r="513" spans="1:9" ht="12.75">
      <c r="A513" s="16"/>
      <c r="C513" s="143"/>
      <c r="E513" s="143"/>
      <c r="G513" s="143"/>
      <c r="I513" s="143"/>
    </row>
    <row r="514" spans="1:9" ht="12.75">
      <c r="A514" s="16"/>
      <c r="C514" s="143"/>
      <c r="E514" s="143"/>
      <c r="G514" s="143"/>
      <c r="I514" s="143"/>
    </row>
    <row r="515" spans="1:9" ht="12.75">
      <c r="A515" s="16"/>
      <c r="C515" s="143"/>
      <c r="E515" s="143"/>
      <c r="G515" s="143"/>
      <c r="I515" s="143"/>
    </row>
    <row r="516" spans="1:9" ht="12.75">
      <c r="A516" s="16"/>
      <c r="C516" s="143"/>
      <c r="E516" s="143"/>
      <c r="G516" s="143"/>
      <c r="I516" s="143"/>
    </row>
    <row r="517" spans="1:9" ht="12.75">
      <c r="A517" s="16"/>
      <c r="C517" s="143"/>
      <c r="E517" s="143"/>
      <c r="G517" s="143"/>
      <c r="I517" s="143"/>
    </row>
    <row r="518" spans="1:9" ht="12.75">
      <c r="A518" s="16"/>
      <c r="C518" s="143"/>
      <c r="E518" s="143"/>
      <c r="G518" s="143"/>
      <c r="I518" s="143"/>
    </row>
    <row r="519" spans="1:9" ht="12.75">
      <c r="A519" s="16"/>
      <c r="C519" s="143"/>
      <c r="E519" s="143"/>
      <c r="G519" s="143"/>
      <c r="I519" s="143"/>
    </row>
    <row r="520" spans="1:9" ht="12.75">
      <c r="A520" s="16"/>
      <c r="C520" s="143"/>
      <c r="E520" s="143"/>
      <c r="G520" s="143"/>
      <c r="I520" s="143"/>
    </row>
    <row r="521" spans="1:9" ht="12.75">
      <c r="A521" s="16"/>
      <c r="C521" s="143"/>
      <c r="E521" s="143"/>
      <c r="G521" s="143"/>
      <c r="I521" s="143"/>
    </row>
    <row r="522" spans="1:9" ht="12.75">
      <c r="A522" s="16"/>
      <c r="C522" s="143"/>
      <c r="E522" s="143"/>
      <c r="G522" s="143"/>
      <c r="I522" s="143"/>
    </row>
    <row r="523" spans="1:9" ht="12.75">
      <c r="A523" s="16"/>
      <c r="C523" s="143"/>
      <c r="E523" s="143"/>
      <c r="G523" s="143"/>
      <c r="I523" s="143"/>
    </row>
    <row r="524" spans="1:9" ht="12.75">
      <c r="A524" s="16"/>
      <c r="C524" s="143"/>
      <c r="E524" s="143"/>
      <c r="G524" s="143"/>
      <c r="I524" s="143"/>
    </row>
    <row r="525" spans="1:9" ht="12.75">
      <c r="A525" s="16"/>
      <c r="C525" s="143"/>
      <c r="E525" s="143"/>
      <c r="G525" s="143"/>
      <c r="I525" s="143"/>
    </row>
    <row r="526" spans="1:9" ht="12.75">
      <c r="A526" s="16"/>
      <c r="C526" s="143"/>
      <c r="E526" s="143"/>
      <c r="G526" s="143"/>
      <c r="I526" s="143"/>
    </row>
    <row r="527" spans="1:9" ht="12.75">
      <c r="A527" s="16"/>
      <c r="C527" s="143"/>
      <c r="E527" s="143"/>
      <c r="G527" s="143"/>
      <c r="I527" s="143"/>
    </row>
    <row r="528" spans="1:9" ht="12.75">
      <c r="A528" s="16"/>
      <c r="C528" s="143"/>
      <c r="E528" s="143"/>
      <c r="G528" s="143"/>
      <c r="I528" s="143"/>
    </row>
    <row r="529" spans="1:9" ht="12.75">
      <c r="A529" s="16"/>
      <c r="C529" s="143"/>
      <c r="E529" s="143"/>
      <c r="G529" s="143"/>
      <c r="I529" s="143"/>
    </row>
    <row r="530" spans="1:9" ht="12.75">
      <c r="A530" s="16"/>
      <c r="C530" s="143"/>
      <c r="E530" s="143"/>
      <c r="G530" s="143"/>
      <c r="I530" s="143"/>
    </row>
    <row r="531" spans="1:9" ht="12.75">
      <c r="A531" s="16"/>
      <c r="C531" s="143"/>
      <c r="E531" s="143"/>
      <c r="G531" s="143"/>
      <c r="I531" s="143"/>
    </row>
    <row r="532" spans="1:9" ht="12.75">
      <c r="A532" s="16"/>
      <c r="C532" s="143"/>
      <c r="E532" s="143"/>
      <c r="G532" s="143"/>
      <c r="I532" s="143"/>
    </row>
    <row r="533" spans="1:9" ht="12.75">
      <c r="A533" s="16"/>
      <c r="C533" s="143"/>
      <c r="E533" s="143"/>
      <c r="G533" s="143"/>
      <c r="I533" s="143"/>
    </row>
    <row r="534" spans="1:9" ht="12.75">
      <c r="A534" s="16"/>
      <c r="C534" s="143"/>
      <c r="E534" s="143"/>
      <c r="G534" s="143"/>
      <c r="I534" s="143"/>
    </row>
    <row r="535" spans="1:9" ht="12.75">
      <c r="A535" s="16"/>
      <c r="C535" s="143"/>
      <c r="E535" s="143"/>
      <c r="G535" s="143"/>
      <c r="I535" s="143"/>
    </row>
    <row r="536" spans="1:9" ht="12.75">
      <c r="A536" s="16"/>
      <c r="C536" s="143"/>
      <c r="E536" s="143"/>
      <c r="G536" s="143"/>
      <c r="I536" s="143"/>
    </row>
    <row r="537" spans="1:9" ht="12.75">
      <c r="A537" s="16"/>
      <c r="C537" s="143"/>
      <c r="E537" s="143"/>
      <c r="G537" s="143"/>
      <c r="I537" s="143"/>
    </row>
    <row r="538" spans="1:9" ht="12.75">
      <c r="A538" s="16"/>
      <c r="C538" s="143"/>
      <c r="E538" s="143"/>
      <c r="G538" s="143"/>
      <c r="I538" s="143"/>
    </row>
    <row r="539" spans="1:9" ht="12.75">
      <c r="A539" s="16"/>
      <c r="C539" s="143"/>
      <c r="E539" s="143"/>
      <c r="G539" s="143"/>
      <c r="I539" s="143"/>
    </row>
    <row r="540" spans="1:9" ht="12.75">
      <c r="A540" s="16"/>
      <c r="C540" s="143"/>
      <c r="E540" s="143"/>
      <c r="G540" s="143"/>
      <c r="I540" s="143"/>
    </row>
    <row r="541" spans="1:9" ht="12.75">
      <c r="A541" s="16"/>
      <c r="C541" s="143"/>
      <c r="E541" s="143"/>
      <c r="G541" s="143"/>
      <c r="I541" s="143"/>
    </row>
    <row r="542" spans="1:9" ht="12.75">
      <c r="A542" s="16"/>
      <c r="C542" s="143"/>
      <c r="E542" s="143"/>
      <c r="G542" s="143"/>
      <c r="I542" s="143"/>
    </row>
    <row r="543" spans="1:9" ht="12.75">
      <c r="A543" s="16"/>
      <c r="C543" s="143"/>
      <c r="E543" s="143"/>
      <c r="G543" s="143"/>
      <c r="I543" s="143"/>
    </row>
    <row r="544" spans="1:9" ht="12.75">
      <c r="A544" s="16"/>
      <c r="C544" s="143"/>
      <c r="E544" s="143"/>
      <c r="G544" s="143"/>
      <c r="I544" s="143"/>
    </row>
    <row r="545" spans="1:9" ht="12.75">
      <c r="A545" s="16"/>
      <c r="C545" s="143"/>
      <c r="E545" s="143"/>
      <c r="G545" s="143"/>
      <c r="I545" s="143"/>
    </row>
    <row r="546" spans="1:9" ht="12.75">
      <c r="A546" s="16"/>
      <c r="C546" s="143"/>
      <c r="E546" s="143"/>
      <c r="G546" s="143"/>
      <c r="I546" s="143"/>
    </row>
    <row r="547" spans="1:9" ht="12.75">
      <c r="A547" s="16"/>
      <c r="C547" s="143"/>
      <c r="E547" s="143"/>
      <c r="G547" s="143"/>
      <c r="I547" s="143"/>
    </row>
    <row r="548" spans="1:9" ht="12.75">
      <c r="A548" s="16"/>
      <c r="C548" s="143"/>
      <c r="E548" s="143"/>
      <c r="G548" s="143"/>
      <c r="I548" s="143"/>
    </row>
    <row r="549" spans="1:9" ht="12.75">
      <c r="A549" s="16"/>
      <c r="C549" s="143"/>
      <c r="E549" s="143"/>
      <c r="G549" s="143"/>
      <c r="I549" s="143"/>
    </row>
    <row r="550" spans="1:9" ht="12.75">
      <c r="A550" s="16"/>
      <c r="C550" s="143"/>
      <c r="E550" s="143"/>
      <c r="G550" s="143"/>
      <c r="I550" s="143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G2823"/>
  <sheetViews>
    <sheetView zoomScalePageLayoutView="0" workbookViewId="0" topLeftCell="A1">
      <selection activeCell="C43" sqref="C43"/>
    </sheetView>
  </sheetViews>
  <sheetFormatPr defaultColWidth="9.140625" defaultRowHeight="12.75"/>
  <cols>
    <col min="4" max="4" width="10.140625" style="0" bestFit="1" customWidth="1"/>
  </cols>
  <sheetData>
    <row r="1" spans="1:7" ht="12.75">
      <c r="A1" s="3" t="s">
        <v>1</v>
      </c>
      <c r="B1" s="3" t="s">
        <v>3</v>
      </c>
      <c r="C1" s="3" t="s">
        <v>50</v>
      </c>
      <c r="D1" s="16">
        <v>40560</v>
      </c>
      <c r="F1" s="3" t="s">
        <v>51</v>
      </c>
      <c r="G1" s="3" t="s">
        <v>50</v>
      </c>
    </row>
    <row r="2" spans="1:7" ht="12.75">
      <c r="A2" s="6">
        <v>22</v>
      </c>
      <c r="B2" s="1">
        <v>7.23</v>
      </c>
      <c r="C2" s="1">
        <f>cubic_spline($A$2:$A$24,$B$2:$B$24,A2)</f>
        <v>7.230000019073486</v>
      </c>
      <c r="F2">
        <v>1</v>
      </c>
      <c r="G2" s="1">
        <f>cubic_spline($A$2:$A$24,$B$2:$B$24,F2)</f>
        <v>7.0377080006779575</v>
      </c>
    </row>
    <row r="3" spans="1:7" ht="12.75">
      <c r="A3" s="6">
        <v>42</v>
      </c>
      <c r="B3" s="1">
        <v>7.415</v>
      </c>
      <c r="C3" s="1">
        <f aca="true" t="shared" si="0" ref="C3:C24">cubic_spline($A$2:$A$24,$B$2:$B$24,A3)</f>
        <v>7.414999961853027</v>
      </c>
      <c r="F3">
        <v>2</v>
      </c>
      <c r="G3" s="1">
        <f aca="true" t="shared" si="1" ref="G3:G66">cubic_spline($A$2:$A$24,$B$2:$B$24,F3)</f>
        <v>7.045000076293945</v>
      </c>
    </row>
    <row r="4" spans="1:7" ht="12.75">
      <c r="A4" s="6">
        <v>65</v>
      </c>
      <c r="B4" s="1">
        <v>7.54</v>
      </c>
      <c r="C4" s="1">
        <f t="shared" si="0"/>
        <v>7.539999961853027</v>
      </c>
      <c r="F4">
        <v>3</v>
      </c>
      <c r="G4" s="1">
        <f t="shared" si="1"/>
        <v>7.052565062864597</v>
      </c>
    </row>
    <row r="5" spans="1:7" ht="12.75">
      <c r="A5" s="6">
        <v>108</v>
      </c>
      <c r="B5" s="1">
        <v>7.73</v>
      </c>
      <c r="C5" s="1">
        <f t="shared" si="0"/>
        <v>7.730000019073486</v>
      </c>
      <c r="F5">
        <v>4</v>
      </c>
      <c r="G5" s="1">
        <f t="shared" si="1"/>
        <v>7.060388361167861</v>
      </c>
    </row>
    <row r="6" spans="1:7" ht="12.75">
      <c r="A6" s="6">
        <v>172</v>
      </c>
      <c r="B6" s="1">
        <v>7.86</v>
      </c>
      <c r="C6" s="1">
        <f t="shared" si="0"/>
        <v>7.860000133514404</v>
      </c>
      <c r="F6">
        <v>5</v>
      </c>
      <c r="G6" s="1">
        <f t="shared" si="1"/>
        <v>7.068459186678957</v>
      </c>
    </row>
    <row r="7" spans="1:7" ht="12.75">
      <c r="A7" s="6">
        <v>233</v>
      </c>
      <c r="B7" s="1">
        <v>7.95</v>
      </c>
      <c r="C7" s="1">
        <f t="shared" si="0"/>
        <v>7.949999809265137</v>
      </c>
      <c r="F7">
        <v>6</v>
      </c>
      <c r="G7" s="1">
        <f t="shared" si="1"/>
        <v>7.076760079152882</v>
      </c>
    </row>
    <row r="8" spans="1:7" ht="12.75">
      <c r="A8" s="6">
        <v>294</v>
      </c>
      <c r="B8" s="1">
        <v>8.04</v>
      </c>
      <c r="C8" s="1">
        <f t="shared" si="0"/>
        <v>8.039999961853027</v>
      </c>
      <c r="F8">
        <v>7</v>
      </c>
      <c r="G8" s="1">
        <f t="shared" si="1"/>
        <v>7.085280254064855</v>
      </c>
    </row>
    <row r="9" spans="1:7" ht="12.75">
      <c r="A9" s="6">
        <v>360</v>
      </c>
      <c r="B9" s="1">
        <v>8.08</v>
      </c>
      <c r="C9" s="1">
        <f t="shared" si="0"/>
        <v>8.079999923706055</v>
      </c>
      <c r="F9">
        <v>8</v>
      </c>
      <c r="G9" s="1">
        <f t="shared" si="1"/>
        <v>7.094005112192827</v>
      </c>
    </row>
    <row r="10" spans="1:7" ht="12.75">
      <c r="A10" s="6">
        <v>425</v>
      </c>
      <c r="B10" s="1">
        <v>8.19</v>
      </c>
      <c r="C10" s="1">
        <f t="shared" si="0"/>
        <v>8.1899995803833</v>
      </c>
      <c r="F10">
        <v>9</v>
      </c>
      <c r="G10" s="1">
        <f t="shared" si="1"/>
        <v>7.102920054314745</v>
      </c>
    </row>
    <row r="11" spans="1:7" ht="12.75">
      <c r="A11" s="6">
        <v>486</v>
      </c>
      <c r="B11" s="1">
        <v>8.3</v>
      </c>
      <c r="C11" s="1">
        <f t="shared" si="0"/>
        <v>8.300000190734863</v>
      </c>
      <c r="F11">
        <v>10</v>
      </c>
      <c r="G11" s="1">
        <f t="shared" si="1"/>
        <v>7.112013342231513</v>
      </c>
    </row>
    <row r="12" spans="1:7" ht="12.75">
      <c r="A12" s="6">
        <v>547</v>
      </c>
      <c r="B12" s="1">
        <v>8.39</v>
      </c>
      <c r="C12" s="1">
        <f t="shared" si="0"/>
        <v>8.390000343322754</v>
      </c>
      <c r="F12">
        <v>11</v>
      </c>
      <c r="G12" s="1">
        <f t="shared" si="1"/>
        <v>7.1212703767210765</v>
      </c>
    </row>
    <row r="13" spans="1:7" ht="12.75">
      <c r="A13" s="6">
        <v>612</v>
      </c>
      <c r="B13" s="1">
        <v>8.44</v>
      </c>
      <c r="C13" s="1">
        <f t="shared" si="0"/>
        <v>8.4399995803833</v>
      </c>
      <c r="F13">
        <v>12</v>
      </c>
      <c r="G13" s="1">
        <f t="shared" si="1"/>
        <v>7.130677512235707</v>
      </c>
    </row>
    <row r="14" spans="1:7" ht="12.75">
      <c r="A14" s="6">
        <v>675</v>
      </c>
      <c r="B14" s="1">
        <v>8.54</v>
      </c>
      <c r="C14" s="1">
        <f t="shared" si="0"/>
        <v>8.539999961853027</v>
      </c>
      <c r="F14">
        <v>13</v>
      </c>
      <c r="G14" s="1">
        <f t="shared" si="1"/>
        <v>7.140221103227668</v>
      </c>
    </row>
    <row r="15" spans="1:7" ht="12.75">
      <c r="A15" s="6">
        <v>736</v>
      </c>
      <c r="B15" s="1">
        <v>8.6</v>
      </c>
      <c r="C15" s="1">
        <f t="shared" si="0"/>
        <v>8.600000381469727</v>
      </c>
      <c r="F15">
        <v>14</v>
      </c>
      <c r="G15" s="1">
        <f t="shared" si="1"/>
        <v>7.149886550474911</v>
      </c>
    </row>
    <row r="16" spans="1:7" ht="12.75">
      <c r="A16" s="6">
        <v>799</v>
      </c>
      <c r="B16" s="1">
        <v>8.66</v>
      </c>
      <c r="C16" s="1">
        <f t="shared" si="0"/>
        <v>8.65999984741211</v>
      </c>
      <c r="F16">
        <v>15</v>
      </c>
      <c r="G16" s="1">
        <f t="shared" si="1"/>
        <v>7.159662115778338</v>
      </c>
    </row>
    <row r="17" spans="1:7" ht="12.75">
      <c r="A17" s="6">
        <v>864</v>
      </c>
      <c r="B17" s="1">
        <v>8.68</v>
      </c>
      <c r="C17" s="1">
        <f t="shared" si="0"/>
        <v>8.680000305175781</v>
      </c>
      <c r="F17">
        <v>16</v>
      </c>
      <c r="G17" s="1">
        <f t="shared" si="1"/>
        <v>7.169532246241579</v>
      </c>
    </row>
    <row r="18" spans="1:7" ht="12.75">
      <c r="A18" s="6">
        <v>926</v>
      </c>
      <c r="B18" s="1">
        <v>8.75</v>
      </c>
      <c r="C18" s="1">
        <f t="shared" si="0"/>
        <v>8.75</v>
      </c>
      <c r="F18">
        <v>17</v>
      </c>
      <c r="G18" s="1">
        <f t="shared" si="1"/>
        <v>7.179486157339852</v>
      </c>
    </row>
    <row r="19" spans="1:7" ht="12.75">
      <c r="A19" s="6">
        <v>989</v>
      </c>
      <c r="B19" s="1">
        <v>8.75</v>
      </c>
      <c r="C19" s="1">
        <f t="shared" si="0"/>
        <v>8.75</v>
      </c>
      <c r="F19">
        <v>18</v>
      </c>
      <c r="G19" s="1">
        <f t="shared" si="1"/>
        <v>7.189507342502474</v>
      </c>
    </row>
    <row r="20" spans="1:7" ht="12.75">
      <c r="A20" s="6">
        <v>1050</v>
      </c>
      <c r="B20" s="1">
        <v>8.79</v>
      </c>
      <c r="C20" s="1">
        <f t="shared" si="0"/>
        <v>8.789999961853027</v>
      </c>
      <c r="F20">
        <v>19</v>
      </c>
      <c r="G20" s="1">
        <f t="shared" si="1"/>
        <v>7.199582156181713</v>
      </c>
    </row>
    <row r="21" spans="1:7" ht="12.75">
      <c r="A21" s="6">
        <v>1114</v>
      </c>
      <c r="B21" s="1">
        <v>8.96</v>
      </c>
      <c r="C21" s="1">
        <f t="shared" si="0"/>
        <v>8.960000038146973</v>
      </c>
      <c r="F21">
        <v>20</v>
      </c>
      <c r="G21" s="1">
        <f t="shared" si="1"/>
        <v>7.209698860178469</v>
      </c>
    </row>
    <row r="22" spans="1:7" ht="12.75">
      <c r="A22" s="6">
        <v>1175</v>
      </c>
      <c r="B22" s="1">
        <v>8.9</v>
      </c>
      <c r="C22" s="1">
        <f t="shared" si="0"/>
        <v>8.899999618530273</v>
      </c>
      <c r="F22">
        <v>21</v>
      </c>
      <c r="G22" s="1">
        <f t="shared" si="1"/>
        <v>7.219842378433532</v>
      </c>
    </row>
    <row r="23" spans="1:7" ht="12.75">
      <c r="A23" s="6">
        <v>1425</v>
      </c>
      <c r="B23" s="1">
        <v>9.07</v>
      </c>
      <c r="C23" s="1">
        <f t="shared" si="0"/>
        <v>9.069999694824219</v>
      </c>
      <c r="F23">
        <v>22</v>
      </c>
      <c r="G23" s="1">
        <f t="shared" si="1"/>
        <v>7.230000019073486</v>
      </c>
    </row>
    <row r="24" spans="1:7" ht="12.75">
      <c r="A24" s="6">
        <v>1678</v>
      </c>
      <c r="B24" s="1">
        <v>9.21</v>
      </c>
      <c r="C24" s="1">
        <f t="shared" si="0"/>
        <v>9.210000038146973</v>
      </c>
      <c r="F24">
        <v>23</v>
      </c>
      <c r="G24" s="1">
        <f t="shared" si="1"/>
        <v>7.240157182876282</v>
      </c>
    </row>
    <row r="25" spans="2:7" ht="12.75">
      <c r="B25" s="10"/>
      <c r="C25" s="1"/>
      <c r="F25">
        <v>24</v>
      </c>
      <c r="G25" s="1">
        <f t="shared" si="1"/>
        <v>7.250301177968503</v>
      </c>
    </row>
    <row r="26" spans="2:7" ht="12.75">
      <c r="B26" s="10"/>
      <c r="C26" s="1"/>
      <c r="F26">
        <v>25</v>
      </c>
      <c r="G26" s="1">
        <f t="shared" si="1"/>
        <v>7.260417881965259</v>
      </c>
    </row>
    <row r="27" spans="2:7" ht="12.75">
      <c r="B27" s="10"/>
      <c r="C27" s="1"/>
      <c r="F27">
        <v>26</v>
      </c>
      <c r="G27" s="1">
        <f t="shared" si="1"/>
        <v>7.270493172481657</v>
      </c>
    </row>
    <row r="28" spans="2:7" ht="12.75">
      <c r="B28" s="10"/>
      <c r="C28" s="1"/>
      <c r="F28">
        <v>27</v>
      </c>
      <c r="G28" s="1">
        <f t="shared" si="1"/>
        <v>7.280514357644279</v>
      </c>
    </row>
    <row r="29" spans="2:7" ht="12.75">
      <c r="B29" s="10"/>
      <c r="C29" s="1"/>
      <c r="F29">
        <v>28</v>
      </c>
      <c r="G29" s="1">
        <f t="shared" si="1"/>
        <v>7.290466838231077</v>
      </c>
    </row>
    <row r="30" spans="2:7" ht="12.75">
      <c r="B30" s="10"/>
      <c r="C30" s="1"/>
      <c r="F30">
        <v>29</v>
      </c>
      <c r="G30" s="1">
        <f t="shared" si="1"/>
        <v>7.3003374455314765</v>
      </c>
    </row>
    <row r="31" spans="3:7" ht="12.75">
      <c r="C31" s="1"/>
      <c r="F31">
        <v>30</v>
      </c>
      <c r="G31" s="1">
        <f t="shared" si="1"/>
        <v>7.310113487672061</v>
      </c>
    </row>
    <row r="32" spans="3:7" ht="12.75">
      <c r="C32" s="1"/>
      <c r="F32">
        <v>31</v>
      </c>
      <c r="G32" s="1">
        <f t="shared" si="1"/>
        <v>7.319779411756463</v>
      </c>
    </row>
    <row r="33" spans="6:7" ht="12.75">
      <c r="F33">
        <v>32</v>
      </c>
      <c r="G33" s="1">
        <f t="shared" si="1"/>
        <v>7.329322764329845</v>
      </c>
    </row>
    <row r="34" spans="6:7" ht="12.75">
      <c r="F34">
        <v>33</v>
      </c>
      <c r="G34" s="1">
        <f t="shared" si="1"/>
        <v>7.338729661425896</v>
      </c>
    </row>
    <row r="35" spans="6:7" ht="12.75">
      <c r="F35">
        <v>34</v>
      </c>
      <c r="G35" s="1">
        <f t="shared" si="1"/>
        <v>7.347986457496881</v>
      </c>
    </row>
    <row r="36" spans="6:7" ht="12.75">
      <c r="F36">
        <v>35</v>
      </c>
      <c r="G36" s="1">
        <f t="shared" si="1"/>
        <v>7.35707950699507</v>
      </c>
    </row>
    <row r="37" spans="6:7" ht="12.75">
      <c r="F37">
        <v>36</v>
      </c>
      <c r="G37" s="1">
        <f t="shared" si="1"/>
        <v>7.365995402791304</v>
      </c>
    </row>
    <row r="38" spans="6:7" ht="12.75">
      <c r="F38">
        <v>37</v>
      </c>
      <c r="G38" s="1">
        <f t="shared" si="1"/>
        <v>7.374719903291407</v>
      </c>
    </row>
    <row r="39" spans="6:7" ht="12.75">
      <c r="F39">
        <v>38</v>
      </c>
      <c r="G39" s="1">
        <f t="shared" si="1"/>
        <v>7.383239839784801</v>
      </c>
    </row>
    <row r="40" spans="6:7" ht="12.75">
      <c r="F40">
        <v>39</v>
      </c>
      <c r="G40" s="1">
        <f t="shared" si="1"/>
        <v>7.391541566723753</v>
      </c>
    </row>
    <row r="41" spans="6:7" ht="12.75">
      <c r="F41">
        <v>40</v>
      </c>
      <c r="G41" s="1">
        <f t="shared" si="1"/>
        <v>7.399611140537309</v>
      </c>
    </row>
    <row r="42" spans="6:7" ht="12.75">
      <c r="F42">
        <v>41</v>
      </c>
      <c r="G42" s="1">
        <f t="shared" si="1"/>
        <v>7.407435183898633</v>
      </c>
    </row>
    <row r="43" spans="6:7" ht="12.75">
      <c r="F43">
        <v>42</v>
      </c>
      <c r="G43" s="1">
        <f t="shared" si="1"/>
        <v>7.414999961853027</v>
      </c>
    </row>
    <row r="44" spans="6:7" ht="12.75">
      <c r="F44">
        <v>43</v>
      </c>
      <c r="G44" s="1">
        <f t="shared" si="1"/>
        <v>7.422296526380052</v>
      </c>
    </row>
    <row r="45" spans="6:7" ht="12.75">
      <c r="F45">
        <v>44</v>
      </c>
      <c r="G45" s="1">
        <f t="shared" si="1"/>
        <v>7.429332663551269</v>
      </c>
    </row>
    <row r="46" spans="6:7" ht="12.75">
      <c r="F46">
        <v>45</v>
      </c>
      <c r="G46" s="1">
        <f t="shared" si="1"/>
        <v>7.436121812328887</v>
      </c>
    </row>
    <row r="47" spans="6:7" ht="12.75">
      <c r="F47">
        <v>46</v>
      </c>
      <c r="G47" s="1">
        <f t="shared" si="1"/>
        <v>7.442676929063252</v>
      </c>
    </row>
    <row r="48" spans="6:7" ht="12.75">
      <c r="F48">
        <v>47</v>
      </c>
      <c r="G48" s="1">
        <f t="shared" si="1"/>
        <v>7.449011453050039</v>
      </c>
    </row>
    <row r="49" spans="6:7" ht="12.75">
      <c r="F49">
        <v>48</v>
      </c>
      <c r="G49" s="1">
        <f t="shared" si="1"/>
        <v>7.455137867757969</v>
      </c>
    </row>
    <row r="50" spans="6:7" ht="12.75">
      <c r="F50">
        <v>49</v>
      </c>
      <c r="G50" s="1">
        <f t="shared" si="1"/>
        <v>7.46106865665577</v>
      </c>
    </row>
    <row r="51" spans="6:7" ht="12.75">
      <c r="F51">
        <v>50</v>
      </c>
      <c r="G51" s="1">
        <f t="shared" si="1"/>
        <v>7.466817733723635</v>
      </c>
    </row>
    <row r="52" spans="6:7" ht="12.75">
      <c r="F52">
        <v>51</v>
      </c>
      <c r="G52" s="1">
        <f t="shared" si="1"/>
        <v>7.472397105753088</v>
      </c>
    </row>
    <row r="53" spans="6:7" ht="12.75">
      <c r="F53">
        <v>52</v>
      </c>
      <c r="G53" s="1">
        <f t="shared" si="1"/>
        <v>7.477820209347655</v>
      </c>
    </row>
    <row r="54" spans="6:7" ht="12.75">
      <c r="F54">
        <v>53</v>
      </c>
      <c r="G54" s="1">
        <f t="shared" si="1"/>
        <v>7.483100243627621</v>
      </c>
    </row>
    <row r="55" spans="6:7" ht="12.75">
      <c r="F55">
        <v>54</v>
      </c>
      <c r="G55" s="1">
        <f t="shared" si="1"/>
        <v>7.488250168898865</v>
      </c>
    </row>
    <row r="56" spans="6:7" ht="12.75">
      <c r="F56">
        <v>55</v>
      </c>
      <c r="G56" s="1">
        <f t="shared" si="1"/>
        <v>7.49328222990111</v>
      </c>
    </row>
    <row r="57" spans="6:7" ht="12.75">
      <c r="F57">
        <v>56</v>
      </c>
      <c r="G57" s="1">
        <f t="shared" si="1"/>
        <v>7.498210102739556</v>
      </c>
    </row>
    <row r="58" spans="6:7" ht="12.75">
      <c r="F58">
        <v>57</v>
      </c>
      <c r="G58" s="1">
        <f t="shared" si="1"/>
        <v>7.50304650907648</v>
      </c>
    </row>
    <row r="59" spans="6:7" ht="12.75">
      <c r="F59">
        <v>58</v>
      </c>
      <c r="G59" s="1">
        <f t="shared" si="1"/>
        <v>7.507804408699938</v>
      </c>
    </row>
    <row r="60" spans="6:7" ht="12.75">
      <c r="F60">
        <v>59</v>
      </c>
      <c r="G60" s="1">
        <f t="shared" si="1"/>
        <v>7.512496643689306</v>
      </c>
    </row>
    <row r="61" spans="6:7" ht="12.75">
      <c r="F61">
        <v>60</v>
      </c>
      <c r="G61" s="1">
        <f t="shared" si="1"/>
        <v>7.51713641200451</v>
      </c>
    </row>
    <row r="62" spans="6:7" ht="12.75">
      <c r="F62">
        <v>61</v>
      </c>
      <c r="G62" s="1">
        <f t="shared" si="1"/>
        <v>7.521736555339263</v>
      </c>
    </row>
    <row r="63" spans="6:7" ht="12.75">
      <c r="F63">
        <v>62</v>
      </c>
      <c r="G63" s="1">
        <f t="shared" si="1"/>
        <v>7.526309973769212</v>
      </c>
    </row>
    <row r="64" spans="6:7" ht="12.75">
      <c r="F64">
        <v>63</v>
      </c>
      <c r="G64" s="1">
        <f t="shared" si="1"/>
        <v>7.530869747304646</v>
      </c>
    </row>
    <row r="65" spans="6:7" ht="12.75">
      <c r="F65">
        <v>64</v>
      </c>
      <c r="G65" s="1">
        <f t="shared" si="1"/>
        <v>7.535428746598447</v>
      </c>
    </row>
    <row r="66" spans="6:7" ht="12.75">
      <c r="F66">
        <v>65</v>
      </c>
      <c r="G66" s="1">
        <f t="shared" si="1"/>
        <v>7.539999961853027</v>
      </c>
    </row>
    <row r="67" spans="6:7" ht="12.75">
      <c r="F67">
        <v>66</v>
      </c>
      <c r="G67" s="1">
        <f aca="true" t="shared" si="2" ref="G67:G130">cubic_spline($A$2:$A$24,$B$2:$B$24,F67)</f>
        <v>7.544593888696054</v>
      </c>
    </row>
    <row r="68" spans="6:7" ht="12.75">
      <c r="F68">
        <v>67</v>
      </c>
      <c r="G68" s="1">
        <f t="shared" si="2"/>
        <v>7.549210229464582</v>
      </c>
    </row>
    <row r="69" spans="6:7" ht="12.75">
      <c r="F69">
        <v>68</v>
      </c>
      <c r="G69" s="1">
        <f t="shared" si="2"/>
        <v>7.553848129870975</v>
      </c>
    </row>
    <row r="70" spans="6:7" ht="12.75">
      <c r="F70">
        <v>69</v>
      </c>
      <c r="G70" s="1">
        <f t="shared" si="2"/>
        <v>7.558503872331206</v>
      </c>
    </row>
    <row r="71" spans="6:7" ht="12.75">
      <c r="F71">
        <v>70</v>
      </c>
      <c r="G71" s="1">
        <f t="shared" si="2"/>
        <v>7.563175172106944</v>
      </c>
    </row>
    <row r="72" spans="6:7" ht="12.75">
      <c r="F72">
        <v>71</v>
      </c>
      <c r="G72" s="1">
        <f t="shared" si="2"/>
        <v>7.56786069733534</v>
      </c>
    </row>
    <row r="73" spans="6:7" ht="12.75">
      <c r="F73">
        <v>72</v>
      </c>
      <c r="G73" s="1">
        <f t="shared" si="2"/>
        <v>7.57255768564207</v>
      </c>
    </row>
    <row r="74" spans="6:7" ht="12.75">
      <c r="F74">
        <v>73</v>
      </c>
      <c r="G74" s="1">
        <f t="shared" si="2"/>
        <v>7.577263374652811</v>
      </c>
    </row>
    <row r="75" spans="6:7" ht="12.75">
      <c r="F75">
        <v>74</v>
      </c>
      <c r="G75" s="1">
        <f t="shared" si="2"/>
        <v>7.581976909746794</v>
      </c>
    </row>
    <row r="76" spans="6:7" ht="12.75">
      <c r="F76">
        <v>75</v>
      </c>
      <c r="G76" s="1">
        <f t="shared" si="2"/>
        <v>7.586694574015269</v>
      </c>
    </row>
    <row r="77" spans="6:7" ht="12.75">
      <c r="F77">
        <v>76</v>
      </c>
      <c r="G77" s="1">
        <f t="shared" si="2"/>
        <v>7.591414082377762</v>
      </c>
    </row>
    <row r="78" spans="6:7" ht="12.75">
      <c r="F78">
        <v>77</v>
      </c>
      <c r="G78" s="1">
        <f t="shared" si="2"/>
        <v>7.596134102971425</v>
      </c>
    </row>
    <row r="79" spans="6:7" ht="12.75">
      <c r="F79">
        <v>78</v>
      </c>
      <c r="G79" s="1">
        <f t="shared" si="2"/>
        <v>7.600851396584777</v>
      </c>
    </row>
    <row r="80" spans="6:7" ht="12.75">
      <c r="F80">
        <v>79</v>
      </c>
      <c r="G80" s="1">
        <f t="shared" si="2"/>
        <v>7.605565108360697</v>
      </c>
    </row>
    <row r="81" spans="6:7" ht="12.75">
      <c r="F81">
        <v>80</v>
      </c>
      <c r="G81" s="1">
        <f t="shared" si="2"/>
        <v>7.610271521870639</v>
      </c>
    </row>
    <row r="82" spans="6:7" ht="12.75">
      <c r="F82">
        <v>81</v>
      </c>
      <c r="G82" s="1">
        <f t="shared" si="2"/>
        <v>7.614968351790276</v>
      </c>
    </row>
    <row r="83" spans="6:7" ht="12.75">
      <c r="F83">
        <v>82</v>
      </c>
      <c r="G83" s="1">
        <f t="shared" si="2"/>
        <v>7.6196542662567595</v>
      </c>
    </row>
    <row r="84" spans="6:7" ht="12.75">
      <c r="F84">
        <v>83</v>
      </c>
      <c r="G84" s="1">
        <f t="shared" si="2"/>
        <v>7.624326502895768</v>
      </c>
    </row>
    <row r="85" spans="6:7" ht="12.75">
      <c r="F85">
        <v>84</v>
      </c>
      <c r="G85" s="1">
        <f t="shared" si="2"/>
        <v>7.628982776139871</v>
      </c>
    </row>
    <row r="86" spans="6:7" ht="12.75">
      <c r="F86">
        <v>85</v>
      </c>
      <c r="G86" s="1">
        <f t="shared" si="2"/>
        <v>7.633620800477167</v>
      </c>
    </row>
    <row r="87" spans="6:7" ht="12.75">
      <c r="F87">
        <v>86</v>
      </c>
      <c r="G87" s="1">
        <f t="shared" si="2"/>
        <v>7.638238051958414</v>
      </c>
    </row>
    <row r="88" spans="6:7" ht="12.75">
      <c r="F88">
        <v>87</v>
      </c>
      <c r="G88" s="1">
        <f t="shared" si="2"/>
        <v>7.6428327218836065</v>
      </c>
    </row>
    <row r="89" spans="6:7" ht="12.75">
      <c r="F89">
        <v>88</v>
      </c>
      <c r="G89" s="1">
        <f t="shared" si="2"/>
        <v>7.64740228621584</v>
      </c>
    </row>
    <row r="90" spans="6:7" ht="12.75">
      <c r="F90">
        <v>89</v>
      </c>
      <c r="G90" s="1">
        <f t="shared" si="2"/>
        <v>7.651944221147058</v>
      </c>
    </row>
    <row r="91" spans="6:7" ht="12.75">
      <c r="F91">
        <v>90</v>
      </c>
      <c r="G91" s="1">
        <f t="shared" si="2"/>
        <v>7.656456717911478</v>
      </c>
    </row>
    <row r="92" spans="6:7" ht="12.75">
      <c r="F92">
        <v>91</v>
      </c>
      <c r="G92" s="1">
        <f t="shared" si="2"/>
        <v>7.660937252430553</v>
      </c>
    </row>
    <row r="93" spans="6:7" ht="12.75">
      <c r="F93">
        <v>92</v>
      </c>
      <c r="G93" s="1">
        <f t="shared" si="2"/>
        <v>7.665383300981762</v>
      </c>
    </row>
    <row r="94" spans="6:7" ht="12.75">
      <c r="F94">
        <v>93</v>
      </c>
      <c r="G94" s="1">
        <f t="shared" si="2"/>
        <v>7.669792816336849</v>
      </c>
    </row>
    <row r="95" spans="6:7" ht="12.75">
      <c r="F95">
        <v>94</v>
      </c>
      <c r="G95" s="1">
        <f t="shared" si="2"/>
        <v>7.6741639896381155</v>
      </c>
    </row>
    <row r="96" spans="6:7" ht="12.75">
      <c r="F96">
        <v>95</v>
      </c>
      <c r="G96" s="1">
        <f t="shared" si="2"/>
        <v>7.678493581979334</v>
      </c>
    </row>
    <row r="97" spans="6:7" ht="12.75">
      <c r="F97">
        <v>96</v>
      </c>
      <c r="G97" s="1">
        <f t="shared" si="2"/>
        <v>7.6827800227550656</v>
      </c>
    </row>
    <row r="98" spans="6:7" ht="12.75">
      <c r="F98">
        <v>97</v>
      </c>
      <c r="G98" s="1">
        <f t="shared" si="2"/>
        <v>7.687020669146048</v>
      </c>
    </row>
    <row r="99" spans="6:7" ht="12.75">
      <c r="F99">
        <v>98</v>
      </c>
      <c r="G99" s="1">
        <f t="shared" si="2"/>
        <v>7.691213473769022</v>
      </c>
    </row>
    <row r="100" spans="6:7" ht="12.75">
      <c r="F100">
        <v>99</v>
      </c>
      <c r="G100" s="1">
        <f t="shared" si="2"/>
        <v>7.695355912858385</v>
      </c>
    </row>
    <row r="101" spans="6:7" ht="12.75">
      <c r="F101">
        <v>100</v>
      </c>
      <c r="G101" s="1">
        <f t="shared" si="2"/>
        <v>7.699445819889743</v>
      </c>
    </row>
    <row r="102" spans="6:7" ht="12.75">
      <c r="F102">
        <v>101</v>
      </c>
      <c r="G102" s="1">
        <f t="shared" si="2"/>
        <v>7.703481028633197</v>
      </c>
    </row>
    <row r="103" spans="6:7" ht="12.75">
      <c r="F103">
        <v>102</v>
      </c>
      <c r="G103" s="1">
        <f t="shared" si="2"/>
        <v>7.707459015134131</v>
      </c>
    </row>
    <row r="104" spans="6:7" ht="12.75">
      <c r="F104">
        <v>103</v>
      </c>
      <c r="G104" s="1">
        <f t="shared" si="2"/>
        <v>7.711377672725901</v>
      </c>
    </row>
    <row r="105" spans="6:7" ht="12.75">
      <c r="F105">
        <v>104</v>
      </c>
      <c r="G105" s="1">
        <f t="shared" si="2"/>
        <v>7.715234596609403</v>
      </c>
    </row>
    <row r="106" spans="6:7" ht="12.75">
      <c r="F106">
        <v>105</v>
      </c>
      <c r="G106" s="1">
        <f t="shared" si="2"/>
        <v>7.719027620400367</v>
      </c>
    </row>
    <row r="107" spans="6:7" ht="12.75">
      <c r="F107">
        <v>106</v>
      </c>
      <c r="G107" s="1">
        <f t="shared" si="2"/>
        <v>7.722754369268676</v>
      </c>
    </row>
    <row r="108" spans="6:7" ht="12.75">
      <c r="F108">
        <v>107</v>
      </c>
      <c r="G108" s="1">
        <f t="shared" si="2"/>
        <v>7.726412602296048</v>
      </c>
    </row>
    <row r="109" spans="6:7" ht="12.75">
      <c r="F109">
        <v>108</v>
      </c>
      <c r="G109" s="1">
        <f t="shared" si="2"/>
        <v>7.730000019073486</v>
      </c>
    </row>
    <row r="110" spans="6:7" ht="12.75">
      <c r="F110">
        <v>109</v>
      </c>
      <c r="G110" s="1">
        <f t="shared" si="2"/>
        <v>7.733514740448175</v>
      </c>
    </row>
    <row r="111" spans="6:7" ht="12.75">
      <c r="F111">
        <v>110</v>
      </c>
      <c r="G111" s="1">
        <f t="shared" si="2"/>
        <v>7.736958036969469</v>
      </c>
    </row>
    <row r="112" spans="6:7" ht="12.75">
      <c r="F112">
        <v>111</v>
      </c>
      <c r="G112" s="1">
        <f t="shared" si="2"/>
        <v>7.7403301550587535</v>
      </c>
    </row>
    <row r="113" spans="6:7" ht="12.75">
      <c r="F113">
        <v>112</v>
      </c>
      <c r="G113" s="1">
        <f t="shared" si="2"/>
        <v>7.74363277164889</v>
      </c>
    </row>
    <row r="114" spans="6:7" ht="12.75">
      <c r="F114">
        <v>113</v>
      </c>
      <c r="G114" s="1">
        <f t="shared" si="2"/>
        <v>7.74686756367274</v>
      </c>
    </row>
    <row r="115" spans="6:7" ht="12.75">
      <c r="F115">
        <v>114</v>
      </c>
      <c r="G115" s="1">
        <f t="shared" si="2"/>
        <v>7.75003477755169</v>
      </c>
    </row>
    <row r="116" spans="6:7" ht="12.75">
      <c r="F116">
        <v>115</v>
      </c>
      <c r="G116" s="1">
        <f t="shared" si="2"/>
        <v>7.753136567055758</v>
      </c>
    </row>
    <row r="117" spans="6:7" ht="12.75">
      <c r="F117">
        <v>116</v>
      </c>
      <c r="G117" s="1">
        <f t="shared" si="2"/>
        <v>7.756173178606332</v>
      </c>
    </row>
    <row r="118" spans="6:7" ht="12.75">
      <c r="F118">
        <v>117</v>
      </c>
      <c r="G118" s="1">
        <f t="shared" si="2"/>
        <v>7.759146289136272</v>
      </c>
    </row>
    <row r="119" spans="6:7" ht="12.75">
      <c r="F119">
        <v>118</v>
      </c>
      <c r="G119" s="1">
        <f t="shared" si="2"/>
        <v>7.762057575578439</v>
      </c>
    </row>
    <row r="120" spans="6:7" ht="12.75">
      <c r="F120">
        <v>119</v>
      </c>
      <c r="G120" s="1">
        <f t="shared" si="2"/>
        <v>7.764907284354219</v>
      </c>
    </row>
    <row r="121" spans="6:7" ht="12.75">
      <c r="F121">
        <v>120</v>
      </c>
      <c r="G121" s="1">
        <f t="shared" si="2"/>
        <v>7.7676970923964745</v>
      </c>
    </row>
    <row r="122" spans="6:7" ht="12.75">
      <c r="F122">
        <v>121</v>
      </c>
      <c r="G122" s="1">
        <f t="shared" si="2"/>
        <v>7.7704286766380655</v>
      </c>
    </row>
    <row r="123" spans="6:7" ht="12.75">
      <c r="F123">
        <v>122</v>
      </c>
      <c r="G123" s="1">
        <f t="shared" si="2"/>
        <v>7.7731022835003785</v>
      </c>
    </row>
    <row r="124" spans="6:7" ht="12.75">
      <c r="F124">
        <v>123</v>
      </c>
      <c r="G124" s="1">
        <f t="shared" si="2"/>
        <v>7.7757195899162745</v>
      </c>
    </row>
    <row r="125" spans="6:7" ht="12.75">
      <c r="F125">
        <v>124</v>
      </c>
      <c r="G125" s="1">
        <f t="shared" si="2"/>
        <v>7.778282272818615</v>
      </c>
    </row>
    <row r="126" spans="6:7" ht="12.75">
      <c r="F126">
        <v>125</v>
      </c>
      <c r="G126" s="1">
        <f t="shared" si="2"/>
        <v>7.780790578628785</v>
      </c>
    </row>
    <row r="127" spans="6:7" ht="12.75">
      <c r="F127">
        <v>126</v>
      </c>
      <c r="G127" s="1">
        <f t="shared" si="2"/>
        <v>7.783246184279648</v>
      </c>
    </row>
    <row r="128" spans="6:7" ht="12.75">
      <c r="F128">
        <v>127</v>
      </c>
      <c r="G128" s="1">
        <f t="shared" si="2"/>
        <v>7.785650766704062</v>
      </c>
    </row>
    <row r="129" spans="6:7" ht="12.75">
      <c r="F129">
        <v>128</v>
      </c>
      <c r="G129" s="1">
        <f t="shared" si="2"/>
        <v>7.788004572323416</v>
      </c>
    </row>
    <row r="130" spans="6:7" ht="12.75">
      <c r="F130">
        <v>129</v>
      </c>
      <c r="G130" s="1">
        <f t="shared" si="2"/>
        <v>7.790309754907728</v>
      </c>
    </row>
    <row r="131" spans="6:7" ht="12.75">
      <c r="F131">
        <v>130</v>
      </c>
      <c r="G131" s="1">
        <f aca="true" t="shared" si="3" ref="G131:G194">cubic_spline($A$2:$A$24,$B$2:$B$24,F131)</f>
        <v>7.7925665608783845</v>
      </c>
    </row>
    <row r="132" spans="6:7" ht="12.75">
      <c r="F132">
        <v>131</v>
      </c>
      <c r="G132" s="1">
        <f t="shared" si="3"/>
        <v>7.794776667168247</v>
      </c>
    </row>
    <row r="133" spans="6:7" ht="12.75">
      <c r="F133">
        <v>132</v>
      </c>
      <c r="G133" s="1">
        <f t="shared" si="3"/>
        <v>7.796941750710175</v>
      </c>
    </row>
    <row r="134" spans="6:7" ht="12.75">
      <c r="F134">
        <v>133</v>
      </c>
      <c r="G134" s="1">
        <f t="shared" si="3"/>
        <v>7.799062057925557</v>
      </c>
    </row>
    <row r="135" spans="6:7" ht="12.75">
      <c r="F135">
        <v>134</v>
      </c>
      <c r="G135" s="1">
        <f t="shared" si="3"/>
        <v>7.801139265747253</v>
      </c>
    </row>
    <row r="136" spans="6:7" ht="12.75">
      <c r="F136">
        <v>135</v>
      </c>
      <c r="G136" s="1">
        <f t="shared" si="3"/>
        <v>7.8031750511081235</v>
      </c>
    </row>
    <row r="137" spans="6:7" ht="12.75">
      <c r="F137">
        <v>136</v>
      </c>
      <c r="G137" s="1">
        <f t="shared" si="3"/>
        <v>7.805169660429556</v>
      </c>
    </row>
    <row r="138" spans="6:7" ht="12.75">
      <c r="F138">
        <v>137</v>
      </c>
      <c r="G138" s="1">
        <f t="shared" si="3"/>
        <v>7.8071247706444105</v>
      </c>
    </row>
    <row r="139" spans="6:7" ht="12.75">
      <c r="F139">
        <v>138</v>
      </c>
      <c r="G139" s="1">
        <f t="shared" si="3"/>
        <v>7.809042058685549</v>
      </c>
    </row>
    <row r="140" spans="6:7" ht="12.75">
      <c r="F140">
        <v>139</v>
      </c>
      <c r="G140" s="1">
        <f t="shared" si="3"/>
        <v>7.810921770974357</v>
      </c>
    </row>
    <row r="141" spans="6:7" ht="12.75">
      <c r="F141">
        <v>140</v>
      </c>
      <c r="G141" s="1">
        <f t="shared" si="3"/>
        <v>7.812765822862275</v>
      </c>
    </row>
    <row r="142" spans="6:7" ht="12.75">
      <c r="F142">
        <v>141</v>
      </c>
      <c r="G142" s="1">
        <f t="shared" si="3"/>
        <v>7.814575176026427</v>
      </c>
    </row>
    <row r="143" spans="6:7" ht="12.75">
      <c r="F143">
        <v>142</v>
      </c>
      <c r="G143" s="1">
        <f t="shared" si="3"/>
        <v>7.816350792143936</v>
      </c>
    </row>
    <row r="144" spans="6:7" ht="12.75">
      <c r="F144">
        <v>143</v>
      </c>
      <c r="G144" s="1">
        <f t="shared" si="3"/>
        <v>7.818094348147664</v>
      </c>
    </row>
    <row r="145" spans="6:7" ht="12.75">
      <c r="F145">
        <v>144</v>
      </c>
      <c r="G145" s="1">
        <f t="shared" si="3"/>
        <v>7.819806805714734</v>
      </c>
    </row>
    <row r="146" spans="6:7" ht="12.75">
      <c r="F146">
        <v>145</v>
      </c>
      <c r="G146" s="1">
        <f t="shared" si="3"/>
        <v>7.821489364940849</v>
      </c>
    </row>
    <row r="147" spans="6:7" ht="12.75">
      <c r="F147">
        <v>146</v>
      </c>
      <c r="G147" s="1">
        <f t="shared" si="3"/>
        <v>7.823142987503132</v>
      </c>
    </row>
    <row r="148" spans="6:7" ht="12.75">
      <c r="F148">
        <v>147</v>
      </c>
      <c r="G148" s="1">
        <f t="shared" si="3"/>
        <v>7.824769350334446</v>
      </c>
    </row>
    <row r="149" spans="6:7" ht="12.75">
      <c r="F149">
        <v>148</v>
      </c>
      <c r="G149" s="1">
        <f t="shared" si="3"/>
        <v>7.8263694151119125</v>
      </c>
    </row>
    <row r="150" spans="6:7" ht="12.75">
      <c r="F150">
        <v>149</v>
      </c>
      <c r="G150" s="1">
        <f t="shared" si="3"/>
        <v>7.827944143512656</v>
      </c>
    </row>
    <row r="151" spans="6:7" ht="12.75">
      <c r="F151">
        <v>150</v>
      </c>
      <c r="G151" s="1">
        <f t="shared" si="3"/>
        <v>7.8294952124695385</v>
      </c>
    </row>
    <row r="152" spans="6:7" ht="12.75">
      <c r="F152">
        <v>151</v>
      </c>
      <c r="G152" s="1">
        <f t="shared" si="3"/>
        <v>7.831023583659682</v>
      </c>
    </row>
    <row r="153" spans="6:7" ht="12.75">
      <c r="F153">
        <v>152</v>
      </c>
      <c r="G153" s="1">
        <f t="shared" si="3"/>
        <v>7.832530457178791</v>
      </c>
    </row>
    <row r="154" spans="6:7" ht="12.75">
      <c r="F154">
        <v>153</v>
      </c>
      <c r="G154" s="1">
        <f t="shared" si="3"/>
        <v>7.834016794703988</v>
      </c>
    </row>
    <row r="155" spans="6:7" ht="12.75">
      <c r="F155">
        <v>154</v>
      </c>
      <c r="G155" s="1">
        <f t="shared" si="3"/>
        <v>7.8354842731681345</v>
      </c>
    </row>
    <row r="156" spans="6:7" ht="12.75">
      <c r="F156">
        <v>155</v>
      </c>
      <c r="G156" s="1">
        <f t="shared" si="3"/>
        <v>7.836933854248354</v>
      </c>
    </row>
    <row r="157" spans="6:7" ht="12.75">
      <c r="F157">
        <v>156</v>
      </c>
      <c r="G157" s="1">
        <f t="shared" si="3"/>
        <v>7.83836661883106</v>
      </c>
    </row>
    <row r="158" spans="6:7" ht="12.75">
      <c r="F158">
        <v>157</v>
      </c>
      <c r="G158" s="1">
        <f t="shared" si="3"/>
        <v>7.839783886221245</v>
      </c>
    </row>
    <row r="159" spans="6:7" ht="12.75">
      <c r="F159">
        <v>158</v>
      </c>
      <c r="G159" s="1">
        <f t="shared" si="3"/>
        <v>7.8411869757239</v>
      </c>
    </row>
    <row r="160" spans="6:7" ht="12.75">
      <c r="F160">
        <v>159</v>
      </c>
      <c r="G160" s="1">
        <f t="shared" si="3"/>
        <v>7.842576849016151</v>
      </c>
    </row>
    <row r="161" spans="6:7" ht="12.75">
      <c r="F161">
        <v>160</v>
      </c>
      <c r="G161" s="1">
        <f t="shared" si="3"/>
        <v>7.843954944612278</v>
      </c>
    </row>
    <row r="162" spans="6:7" ht="12.75">
      <c r="F162">
        <v>161</v>
      </c>
      <c r="G162" s="1">
        <f t="shared" si="3"/>
        <v>7.845322224189406</v>
      </c>
    </row>
    <row r="163" spans="6:7" ht="12.75">
      <c r="F163">
        <v>162</v>
      </c>
      <c r="G163" s="1">
        <f t="shared" si="3"/>
        <v>7.846680126261816</v>
      </c>
    </row>
    <row r="164" spans="6:7" ht="12.75">
      <c r="F164">
        <v>163</v>
      </c>
      <c r="G164" s="1">
        <f t="shared" si="3"/>
        <v>7.8480296125066324</v>
      </c>
    </row>
    <row r="165" spans="6:7" ht="12.75">
      <c r="F165">
        <v>164</v>
      </c>
      <c r="G165" s="1">
        <f t="shared" si="3"/>
        <v>7.849372061833492</v>
      </c>
    </row>
    <row r="166" spans="6:7" ht="12.75">
      <c r="F166">
        <v>165</v>
      </c>
      <c r="G166" s="1">
        <f t="shared" si="3"/>
        <v>7.850708614733453</v>
      </c>
    </row>
    <row r="167" spans="6:7" ht="12.75">
      <c r="F167">
        <v>166</v>
      </c>
      <c r="G167" s="1">
        <f t="shared" si="3"/>
        <v>7.852040471302217</v>
      </c>
    </row>
    <row r="168" spans="6:7" ht="12.75">
      <c r="F168">
        <v>167</v>
      </c>
      <c r="G168" s="1">
        <f t="shared" si="3"/>
        <v>7.853368831635489</v>
      </c>
    </row>
    <row r="169" spans="6:7" ht="12.75">
      <c r="F169">
        <v>168</v>
      </c>
      <c r="G169" s="1">
        <f t="shared" si="3"/>
        <v>7.854694866026648</v>
      </c>
    </row>
    <row r="170" spans="6:7" ht="12.75">
      <c r="F170">
        <v>169</v>
      </c>
      <c r="G170" s="1">
        <f t="shared" si="3"/>
        <v>7.856019834176042</v>
      </c>
    </row>
    <row r="171" spans="6:7" ht="12.75">
      <c r="F171">
        <v>170</v>
      </c>
      <c r="G171" s="1">
        <f t="shared" si="3"/>
        <v>7.85734489147589</v>
      </c>
    </row>
    <row r="172" spans="6:7" ht="12.75">
      <c r="F172">
        <v>171</v>
      </c>
      <c r="G172" s="1">
        <f t="shared" si="3"/>
        <v>7.858671260373637</v>
      </c>
    </row>
    <row r="173" spans="6:7" ht="12.75">
      <c r="F173">
        <v>172</v>
      </c>
      <c r="G173" s="1">
        <f t="shared" si="3"/>
        <v>7.860000133514404</v>
      </c>
    </row>
    <row r="174" spans="6:7" ht="12.75">
      <c r="F174">
        <v>173</v>
      </c>
      <c r="G174" s="1">
        <f t="shared" si="3"/>
        <v>7.861332613303326</v>
      </c>
    </row>
    <row r="175" spans="6:7" ht="12.75">
      <c r="F175">
        <v>174</v>
      </c>
      <c r="G175" s="1">
        <f t="shared" si="3"/>
        <v>7.862668371770835</v>
      </c>
    </row>
    <row r="176" spans="6:7" ht="12.75">
      <c r="F176">
        <v>175</v>
      </c>
      <c r="G176" s="1">
        <f t="shared" si="3"/>
        <v>7.864008414532106</v>
      </c>
    </row>
    <row r="177" spans="6:7" ht="12.75">
      <c r="F177">
        <v>176</v>
      </c>
      <c r="G177" s="1">
        <f t="shared" si="3"/>
        <v>7.865352792759854</v>
      </c>
    </row>
    <row r="178" spans="6:7" ht="12.75">
      <c r="F178">
        <v>177</v>
      </c>
      <c r="G178" s="1">
        <f t="shared" si="3"/>
        <v>7.866700127166545</v>
      </c>
    </row>
    <row r="179" spans="6:7" ht="12.75">
      <c r="F179">
        <v>178</v>
      </c>
      <c r="G179" s="1">
        <f t="shared" si="3"/>
        <v>7.868051900127676</v>
      </c>
    </row>
    <row r="180" spans="6:7" ht="12.75">
      <c r="F180">
        <v>179</v>
      </c>
      <c r="G180" s="1">
        <f t="shared" si="3"/>
        <v>7.869407686017554</v>
      </c>
    </row>
    <row r="181" spans="6:7" ht="12.75">
      <c r="F181">
        <v>180</v>
      </c>
      <c r="G181" s="1">
        <f t="shared" si="3"/>
        <v>7.870767059259059</v>
      </c>
    </row>
    <row r="182" spans="6:7" ht="12.75">
      <c r="F182">
        <v>181</v>
      </c>
      <c r="G182" s="1">
        <f t="shared" si="3"/>
        <v>7.87213102531767</v>
      </c>
    </row>
    <row r="183" spans="6:7" ht="12.75">
      <c r="F183">
        <v>182</v>
      </c>
      <c r="G183" s="1">
        <f t="shared" si="3"/>
        <v>7.873499158604456</v>
      </c>
    </row>
    <row r="184" spans="6:7" ht="12.75">
      <c r="F184">
        <v>183</v>
      </c>
      <c r="G184" s="1">
        <f t="shared" si="3"/>
        <v>7.87487103357641</v>
      </c>
    </row>
    <row r="185" spans="6:7" ht="12.75">
      <c r="F185">
        <v>184</v>
      </c>
      <c r="G185" s="1">
        <f t="shared" si="3"/>
        <v>7.876248132467279</v>
      </c>
    </row>
    <row r="186" spans="6:7" ht="12.75">
      <c r="F186">
        <v>185</v>
      </c>
      <c r="G186" s="1">
        <f t="shared" si="3"/>
        <v>7.877629076048592</v>
      </c>
    </row>
    <row r="187" spans="6:7" ht="12.75">
      <c r="F187">
        <v>186</v>
      </c>
      <c r="G187" s="1">
        <f t="shared" si="3"/>
        <v>7.879013915646626</v>
      </c>
    </row>
    <row r="188" spans="6:7" ht="12.75">
      <c r="F188">
        <v>187</v>
      </c>
      <c r="G188" s="1">
        <f t="shared" si="3"/>
        <v>7.880403656593057</v>
      </c>
    </row>
    <row r="189" spans="6:7" ht="12.75">
      <c r="F189">
        <v>188</v>
      </c>
      <c r="G189" s="1">
        <f t="shared" si="3"/>
        <v>7.8817978733665175</v>
      </c>
    </row>
    <row r="190" spans="6:7" ht="12.75">
      <c r="F190">
        <v>189</v>
      </c>
      <c r="G190" s="1">
        <f t="shared" si="3"/>
        <v>7.883196140486264</v>
      </c>
    </row>
    <row r="191" spans="6:7" ht="12.75">
      <c r="F191">
        <v>190</v>
      </c>
      <c r="G191" s="1">
        <f t="shared" si="3"/>
        <v>7.884599463223035</v>
      </c>
    </row>
    <row r="192" spans="6:7" ht="12.75">
      <c r="F192">
        <v>191</v>
      </c>
      <c r="G192" s="1">
        <f t="shared" si="3"/>
        <v>7.886007416086262</v>
      </c>
    </row>
    <row r="193" spans="6:7" ht="12.75">
      <c r="F193">
        <v>192</v>
      </c>
      <c r="G193" s="1">
        <f t="shared" si="3"/>
        <v>7.887420050460512</v>
      </c>
    </row>
    <row r="194" spans="6:7" ht="12.75">
      <c r="F194">
        <v>193</v>
      </c>
      <c r="G194" s="1">
        <f t="shared" si="3"/>
        <v>7.8888374178852425</v>
      </c>
    </row>
    <row r="195" spans="6:7" ht="12.75">
      <c r="F195">
        <v>194</v>
      </c>
      <c r="G195" s="1">
        <f aca="true" t="shared" si="4" ref="G195:G258">cubic_spline($A$2:$A$24,$B$2:$B$24,F195)</f>
        <v>7.890259569735857</v>
      </c>
    </row>
    <row r="196" spans="6:7" ht="12.75">
      <c r="F196">
        <v>195</v>
      </c>
      <c r="G196" s="1">
        <f t="shared" si="4"/>
        <v>7.891686080585927</v>
      </c>
    </row>
    <row r="197" spans="6:7" ht="12.75">
      <c r="F197">
        <v>196</v>
      </c>
      <c r="G197" s="1">
        <f t="shared" si="4"/>
        <v>7.893117955596236</v>
      </c>
    </row>
    <row r="198" spans="6:7" ht="12.75">
      <c r="F198">
        <v>197</v>
      </c>
      <c r="G198" s="1">
        <f t="shared" si="4"/>
        <v>7.894554769331856</v>
      </c>
    </row>
    <row r="199" spans="6:7" ht="12.75">
      <c r="F199">
        <v>198</v>
      </c>
      <c r="G199" s="1">
        <f t="shared" si="4"/>
        <v>7.8959960963905385</v>
      </c>
    </row>
    <row r="200" spans="6:7" ht="12.75">
      <c r="F200">
        <v>199</v>
      </c>
      <c r="G200" s="1">
        <f t="shared" si="4"/>
        <v>7.897443418721205</v>
      </c>
    </row>
    <row r="201" spans="6:7" ht="12.75">
      <c r="F201">
        <v>200</v>
      </c>
      <c r="G201" s="1">
        <f t="shared" si="4"/>
        <v>7.898895357239452</v>
      </c>
    </row>
    <row r="202" spans="6:7" ht="12.75">
      <c r="F202">
        <v>201</v>
      </c>
      <c r="G202" s="1">
        <f t="shared" si="4"/>
        <v>7.900351963402378</v>
      </c>
    </row>
    <row r="203" spans="6:7" ht="12.75">
      <c r="F203">
        <v>202</v>
      </c>
      <c r="G203" s="1">
        <f t="shared" si="4"/>
        <v>7.901814242276704</v>
      </c>
    </row>
    <row r="204" spans="6:7" ht="12.75">
      <c r="F204">
        <v>203</v>
      </c>
      <c r="G204" s="1">
        <f t="shared" si="4"/>
        <v>7.903281768475196</v>
      </c>
    </row>
    <row r="205" spans="6:7" ht="12.75">
      <c r="F205">
        <v>204</v>
      </c>
      <c r="G205" s="1">
        <f t="shared" si="4"/>
        <v>7.904754355034536</v>
      </c>
    </row>
    <row r="206" spans="6:7" ht="12.75">
      <c r="F206">
        <v>205</v>
      </c>
      <c r="G206" s="1">
        <f t="shared" si="4"/>
        <v>7.906232530209343</v>
      </c>
    </row>
    <row r="207" spans="6:7" ht="12.75">
      <c r="F207">
        <v>206</v>
      </c>
      <c r="G207" s="1">
        <f t="shared" si="4"/>
        <v>7.907716106985702</v>
      </c>
    </row>
    <row r="208" spans="6:7" ht="12.75">
      <c r="F208">
        <v>207</v>
      </c>
      <c r="G208" s="1">
        <f t="shared" si="4"/>
        <v>7.90920489843144</v>
      </c>
    </row>
    <row r="209" spans="6:7" ht="12.75">
      <c r="F209">
        <v>208</v>
      </c>
      <c r="G209" s="1">
        <f t="shared" si="4"/>
        <v>7.910699194372836</v>
      </c>
    </row>
    <row r="210" spans="6:7" ht="12.75">
      <c r="F210">
        <v>209</v>
      </c>
      <c r="G210" s="1">
        <f t="shared" si="4"/>
        <v>7.91219952304326</v>
      </c>
    </row>
    <row r="211" spans="6:7" ht="12.75">
      <c r="F211">
        <v>210</v>
      </c>
      <c r="G211" s="1">
        <f t="shared" si="4"/>
        <v>7.9137049822720265</v>
      </c>
    </row>
    <row r="212" spans="6:7" ht="12.75">
      <c r="F212">
        <v>211</v>
      </c>
      <c r="G212" s="1">
        <f t="shared" si="4"/>
        <v>7.915216100295214</v>
      </c>
    </row>
    <row r="213" spans="6:7" ht="12.75">
      <c r="F213">
        <v>212</v>
      </c>
      <c r="G213" s="1">
        <f t="shared" si="4"/>
        <v>7.916733166920164</v>
      </c>
    </row>
    <row r="214" spans="6:7" ht="12.75">
      <c r="F214">
        <v>213</v>
      </c>
      <c r="G214" s="1">
        <f t="shared" si="4"/>
        <v>7.918255995247162</v>
      </c>
    </row>
    <row r="215" spans="6:7" ht="12.75">
      <c r="F215">
        <v>214</v>
      </c>
      <c r="G215" s="1">
        <f t="shared" si="4"/>
        <v>7.919784398248769</v>
      </c>
    </row>
    <row r="216" spans="6:7" ht="12.75">
      <c r="F216">
        <v>215</v>
      </c>
      <c r="G216" s="1">
        <f t="shared" si="4"/>
        <v>7.921318904144444</v>
      </c>
    </row>
    <row r="217" spans="6:7" ht="12.75">
      <c r="F217">
        <v>216</v>
      </c>
      <c r="G217" s="1">
        <f t="shared" si="4"/>
        <v>7.922859326047724</v>
      </c>
    </row>
    <row r="218" spans="6:7" ht="12.75">
      <c r="F218">
        <v>217</v>
      </c>
      <c r="G218" s="1">
        <f t="shared" si="4"/>
        <v>7.924405476924374</v>
      </c>
    </row>
    <row r="219" spans="6:7" ht="12.75">
      <c r="F219">
        <v>218</v>
      </c>
      <c r="G219" s="1">
        <f t="shared" si="4"/>
        <v>7.925957884988394</v>
      </c>
    </row>
    <row r="220" spans="6:7" ht="12.75">
      <c r="F220">
        <v>219</v>
      </c>
      <c r="G220" s="1">
        <f t="shared" si="4"/>
        <v>7.927516244155289</v>
      </c>
    </row>
    <row r="221" spans="6:7" ht="12.75">
      <c r="F221">
        <v>220</v>
      </c>
      <c r="G221" s="1">
        <f t="shared" si="4"/>
        <v>7.929080724983333</v>
      </c>
    </row>
    <row r="222" spans="6:7" ht="12.75">
      <c r="F222">
        <v>221</v>
      </c>
      <c r="G222" s="1">
        <f t="shared" si="4"/>
        <v>7.930651498142885</v>
      </c>
    </row>
    <row r="223" spans="6:7" ht="12.75">
      <c r="F223">
        <v>222</v>
      </c>
      <c r="G223" s="1">
        <f t="shared" si="4"/>
        <v>7.932228257470024</v>
      </c>
    </row>
    <row r="224" spans="6:7" ht="12.75">
      <c r="F224">
        <v>223</v>
      </c>
      <c r="G224" s="1">
        <f t="shared" si="4"/>
        <v>7.93381153117375</v>
      </c>
    </row>
    <row r="225" spans="6:7" ht="12.75">
      <c r="F225">
        <v>224</v>
      </c>
      <c r="G225" s="1">
        <f t="shared" si="4"/>
        <v>7.935401013089502</v>
      </c>
    </row>
    <row r="226" spans="6:7" ht="12.75">
      <c r="F226">
        <v>225</v>
      </c>
      <c r="G226" s="1">
        <f t="shared" si="4"/>
        <v>7.936996873892088</v>
      </c>
    </row>
    <row r="227" spans="6:7" ht="12.75">
      <c r="F227">
        <v>226</v>
      </c>
      <c r="G227" s="1">
        <f t="shared" si="4"/>
        <v>7.938599224554685</v>
      </c>
    </row>
    <row r="228" spans="6:7" ht="12.75">
      <c r="F228">
        <v>227</v>
      </c>
      <c r="G228" s="1">
        <f t="shared" si="4"/>
        <v>7.940208056937694</v>
      </c>
    </row>
    <row r="229" spans="6:7" ht="12.75">
      <c r="F229">
        <v>228</v>
      </c>
      <c r="G229" s="1">
        <f t="shared" si="4"/>
        <v>7.941823362886295</v>
      </c>
    </row>
    <row r="230" spans="6:7" ht="12.75">
      <c r="F230">
        <v>229</v>
      </c>
      <c r="G230" s="1">
        <f t="shared" si="4"/>
        <v>7.943445253421656</v>
      </c>
    </row>
    <row r="231" spans="6:7" ht="12.75">
      <c r="F231">
        <v>230</v>
      </c>
      <c r="G231" s="1">
        <f t="shared" si="4"/>
        <v>7.9450738395644</v>
      </c>
    </row>
    <row r="232" spans="6:7" ht="12.75">
      <c r="F232">
        <v>231</v>
      </c>
      <c r="G232" s="1">
        <f t="shared" si="4"/>
        <v>7.94670905357212</v>
      </c>
    </row>
    <row r="233" spans="6:7" ht="12.75">
      <c r="F233">
        <v>232</v>
      </c>
      <c r="G233" s="1">
        <f t="shared" si="4"/>
        <v>7.9483510362593055</v>
      </c>
    </row>
    <row r="234" spans="6:7" ht="12.75">
      <c r="F234">
        <v>233</v>
      </c>
      <c r="G234" s="1">
        <f t="shared" si="4"/>
        <v>7.949999809265137</v>
      </c>
    </row>
    <row r="235" spans="6:7" ht="12.75">
      <c r="F235">
        <v>234</v>
      </c>
      <c r="G235" s="1">
        <f t="shared" si="4"/>
        <v>7.951655471783766</v>
      </c>
    </row>
    <row r="236" spans="6:7" ht="12.75">
      <c r="F236">
        <v>235</v>
      </c>
      <c r="G236" s="1">
        <f t="shared" si="4"/>
        <v>7.953316877230536</v>
      </c>
    </row>
    <row r="237" spans="6:7" ht="12.75">
      <c r="F237">
        <v>236</v>
      </c>
      <c r="G237" s="1">
        <f t="shared" si="4"/>
        <v>7.954984358704192</v>
      </c>
    </row>
    <row r="238" spans="6:7" ht="12.75">
      <c r="F238">
        <v>237</v>
      </c>
      <c r="G238" s="1">
        <f t="shared" si="4"/>
        <v>7.956656817373264</v>
      </c>
    </row>
    <row r="239" spans="6:7" ht="12.75">
      <c r="F239">
        <v>238</v>
      </c>
      <c r="G239" s="1">
        <f t="shared" si="4"/>
        <v>7.958333154500894</v>
      </c>
    </row>
    <row r="240" spans="6:7" ht="12.75">
      <c r="F240">
        <v>239</v>
      </c>
      <c r="G240" s="1">
        <f t="shared" si="4"/>
        <v>7.960013703043914</v>
      </c>
    </row>
    <row r="241" spans="6:7" ht="12.75">
      <c r="F241">
        <v>240</v>
      </c>
      <c r="G241" s="1">
        <f t="shared" si="4"/>
        <v>7.961697364242422</v>
      </c>
    </row>
    <row r="242" spans="6:7" ht="12.75">
      <c r="F242">
        <v>241</v>
      </c>
      <c r="G242" s="1">
        <f t="shared" si="4"/>
        <v>7.963383039426239</v>
      </c>
    </row>
    <row r="243" spans="6:7" ht="12.75">
      <c r="F243">
        <v>242</v>
      </c>
      <c r="G243" s="1">
        <f t="shared" si="4"/>
        <v>7.965071061417617</v>
      </c>
    </row>
    <row r="244" spans="6:7" ht="12.75">
      <c r="F244">
        <v>243</v>
      </c>
      <c r="G244" s="1">
        <f t="shared" si="4"/>
        <v>7.966760331524559</v>
      </c>
    </row>
    <row r="245" spans="6:7" ht="12.75">
      <c r="F245">
        <v>244</v>
      </c>
      <c r="G245" s="1">
        <f t="shared" si="4"/>
        <v>7.968449751139886</v>
      </c>
    </row>
    <row r="246" spans="6:7" ht="12.75">
      <c r="F246">
        <v>245</v>
      </c>
      <c r="G246" s="1">
        <f t="shared" si="4"/>
        <v>7.97013965295862</v>
      </c>
    </row>
    <row r="247" spans="6:7" ht="12.75">
      <c r="F247">
        <v>246</v>
      </c>
      <c r="G247" s="1">
        <f t="shared" si="4"/>
        <v>7.97182893835299</v>
      </c>
    </row>
    <row r="248" spans="6:7" ht="12.75">
      <c r="F248">
        <v>247</v>
      </c>
      <c r="G248" s="1">
        <f t="shared" si="4"/>
        <v>7.9735165087751545</v>
      </c>
    </row>
    <row r="249" spans="6:7" ht="12.75">
      <c r="F249">
        <v>248</v>
      </c>
      <c r="G249" s="1">
        <f t="shared" si="4"/>
        <v>7.975202696800239</v>
      </c>
    </row>
    <row r="250" spans="6:7" ht="12.75">
      <c r="F250">
        <v>249</v>
      </c>
      <c r="G250" s="1">
        <f t="shared" si="4"/>
        <v>7.976886403861033</v>
      </c>
    </row>
    <row r="251" spans="6:7" ht="12.75">
      <c r="F251">
        <v>250</v>
      </c>
      <c r="G251" s="1">
        <f t="shared" si="4"/>
        <v>7.978566531465358</v>
      </c>
    </row>
    <row r="252" spans="6:7" ht="12.75">
      <c r="F252">
        <v>251</v>
      </c>
      <c r="G252" s="1">
        <f t="shared" si="4"/>
        <v>7.980243412075789</v>
      </c>
    </row>
    <row r="253" spans="6:7" ht="12.75">
      <c r="F253">
        <v>252</v>
      </c>
      <c r="G253" s="1">
        <f t="shared" si="4"/>
        <v>7.981915947182003</v>
      </c>
    </row>
    <row r="254" spans="6:7" ht="12.75">
      <c r="F254">
        <v>253</v>
      </c>
      <c r="G254" s="1">
        <f t="shared" si="4"/>
        <v>7.983583038343814</v>
      </c>
    </row>
    <row r="255" spans="6:7" ht="12.75">
      <c r="F255">
        <v>254</v>
      </c>
      <c r="G255" s="1">
        <f t="shared" si="4"/>
        <v>7.985245017918588</v>
      </c>
    </row>
    <row r="256" spans="6:7" ht="12.75">
      <c r="F256">
        <v>255</v>
      </c>
      <c r="G256" s="1">
        <f t="shared" si="4"/>
        <v>7.986900787449217</v>
      </c>
    </row>
    <row r="257" spans="6:7" ht="12.75">
      <c r="F257">
        <v>256</v>
      </c>
      <c r="G257" s="1">
        <f t="shared" si="4"/>
        <v>7.9885492485438405</v>
      </c>
    </row>
    <row r="258" spans="6:7" ht="12.75">
      <c r="F258">
        <v>257</v>
      </c>
      <c r="G258" s="1">
        <f t="shared" si="4"/>
        <v>7.990190733461953</v>
      </c>
    </row>
    <row r="259" spans="6:7" ht="12.75">
      <c r="F259">
        <v>258</v>
      </c>
      <c r="G259" s="1">
        <f aca="true" t="shared" si="5" ref="G259:G322">cubic_spline($A$2:$A$24,$B$2:$B$24,F259)</f>
        <v>7.991824143795991</v>
      </c>
    </row>
    <row r="260" spans="6:7" ht="12.75">
      <c r="F260">
        <v>259</v>
      </c>
      <c r="G260" s="1">
        <f t="shared" si="5"/>
        <v>7.993448381198753</v>
      </c>
    </row>
    <row r="261" spans="6:7" ht="12.75">
      <c r="F261">
        <v>260</v>
      </c>
      <c r="G261" s="1">
        <f t="shared" si="5"/>
        <v>7.995063777839198</v>
      </c>
    </row>
    <row r="262" spans="6:7" ht="12.75">
      <c r="F262">
        <v>261</v>
      </c>
      <c r="G262" s="1">
        <f t="shared" si="5"/>
        <v>7.996669235355643</v>
      </c>
    </row>
    <row r="263" spans="6:7" ht="12.75">
      <c r="F263">
        <v>262</v>
      </c>
      <c r="G263" s="1">
        <f t="shared" si="5"/>
        <v>7.998263655441868</v>
      </c>
    </row>
    <row r="264" spans="6:7" ht="12.75">
      <c r="F264">
        <v>263</v>
      </c>
      <c r="G264" s="1">
        <f t="shared" si="5"/>
        <v>7.999847370183642</v>
      </c>
    </row>
    <row r="265" spans="6:7" ht="12.75">
      <c r="F265">
        <v>264</v>
      </c>
      <c r="G265" s="1">
        <f t="shared" si="5"/>
        <v>8.001419042842908</v>
      </c>
    </row>
    <row r="266" spans="6:7" ht="12.75">
      <c r="F266">
        <v>265</v>
      </c>
      <c r="G266" s="1">
        <f t="shared" si="5"/>
        <v>8.002978290365789</v>
      </c>
    </row>
    <row r="267" spans="6:7" ht="12.75">
      <c r="F267">
        <v>266</v>
      </c>
      <c r="G267" s="1">
        <f t="shared" si="5"/>
        <v>8.00452449121002</v>
      </c>
    </row>
    <row r="268" spans="6:7" ht="12.75">
      <c r="F268">
        <v>267</v>
      </c>
      <c r="G268" s="1">
        <f t="shared" si="5"/>
        <v>8.006057262228262</v>
      </c>
    </row>
    <row r="269" spans="6:7" ht="12.75">
      <c r="F269">
        <v>268</v>
      </c>
      <c r="G269" s="1">
        <f t="shared" si="5"/>
        <v>8.007575505168436</v>
      </c>
    </row>
    <row r="270" spans="6:7" ht="12.75">
      <c r="F270">
        <v>269</v>
      </c>
      <c r="G270" s="1">
        <f t="shared" si="5"/>
        <v>8.009078836888806</v>
      </c>
    </row>
    <row r="271" spans="6:7" ht="12.75">
      <c r="F271">
        <v>270</v>
      </c>
      <c r="G271" s="1">
        <f t="shared" si="5"/>
        <v>8.010566874226443</v>
      </c>
    </row>
    <row r="272" spans="6:7" ht="12.75">
      <c r="F272">
        <v>271</v>
      </c>
      <c r="G272" s="1">
        <f t="shared" si="5"/>
        <v>8.012038518961068</v>
      </c>
    </row>
    <row r="273" spans="6:7" ht="12.75">
      <c r="F273">
        <v>272</v>
      </c>
      <c r="G273" s="1">
        <f t="shared" si="5"/>
        <v>8.01349338793474</v>
      </c>
    </row>
    <row r="274" spans="6:7" ht="12.75">
      <c r="F274">
        <v>273</v>
      </c>
      <c r="G274" s="1">
        <f t="shared" si="5"/>
        <v>8.014931097970765</v>
      </c>
    </row>
    <row r="275" spans="6:7" ht="12.75">
      <c r="F275">
        <v>274</v>
      </c>
      <c r="G275" s="1">
        <f t="shared" si="5"/>
        <v>8.016350550877005</v>
      </c>
    </row>
    <row r="276" spans="6:7" ht="12.75">
      <c r="F276">
        <v>275</v>
      </c>
      <c r="G276" s="1">
        <f t="shared" si="5"/>
        <v>8.01775136348114</v>
      </c>
    </row>
    <row r="277" spans="6:7" ht="12.75">
      <c r="F277">
        <v>276</v>
      </c>
      <c r="G277" s="1">
        <f t="shared" si="5"/>
        <v>8.01913315259455</v>
      </c>
    </row>
    <row r="278" spans="6:7" ht="12.75">
      <c r="F278">
        <v>277</v>
      </c>
      <c r="G278" s="1">
        <f t="shared" si="5"/>
        <v>8.020494820049562</v>
      </c>
    </row>
    <row r="279" spans="6:7" ht="12.75">
      <c r="F279">
        <v>278</v>
      </c>
      <c r="G279" s="1">
        <f t="shared" si="5"/>
        <v>8.021835982661319</v>
      </c>
    </row>
    <row r="280" spans="6:7" ht="12.75">
      <c r="F280">
        <v>279</v>
      </c>
      <c r="G280" s="1">
        <f t="shared" si="5"/>
        <v>8.023156138021816</v>
      </c>
    </row>
    <row r="281" spans="6:7" ht="12.75">
      <c r="F281">
        <v>280</v>
      </c>
      <c r="G281" s="1">
        <f t="shared" si="5"/>
        <v>8.024454426402762</v>
      </c>
    </row>
    <row r="282" spans="6:7" ht="12.75">
      <c r="F282">
        <v>281</v>
      </c>
      <c r="G282" s="1">
        <f t="shared" si="5"/>
        <v>8.025730464553984</v>
      </c>
    </row>
    <row r="283" spans="6:7" ht="12.75">
      <c r="F283">
        <v>282</v>
      </c>
      <c r="G283" s="1">
        <f t="shared" si="5"/>
        <v>8.026983511804467</v>
      </c>
    </row>
    <row r="284" spans="6:7" ht="12.75">
      <c r="F284">
        <v>283</v>
      </c>
      <c r="G284" s="1">
        <f t="shared" si="5"/>
        <v>8.028212827488506</v>
      </c>
    </row>
    <row r="285" spans="6:7" ht="12.75">
      <c r="F285">
        <v>284</v>
      </c>
      <c r="G285" s="1">
        <f t="shared" si="5"/>
        <v>8.029418028398155</v>
      </c>
    </row>
    <row r="286" spans="6:7" ht="12.75">
      <c r="F286">
        <v>285</v>
      </c>
      <c r="G286" s="1">
        <f t="shared" si="5"/>
        <v>8.030598373866527</v>
      </c>
    </row>
    <row r="287" spans="6:7" ht="12.75">
      <c r="F287">
        <v>286</v>
      </c>
      <c r="G287" s="1">
        <f t="shared" si="5"/>
        <v>8.03175312323082</v>
      </c>
    </row>
    <row r="288" spans="6:7" ht="12.75">
      <c r="F288">
        <v>287</v>
      </c>
      <c r="G288" s="1">
        <f t="shared" si="5"/>
        <v>8.032881833672327</v>
      </c>
    </row>
    <row r="289" spans="6:7" ht="12.75">
      <c r="F289">
        <v>288</v>
      </c>
      <c r="G289" s="1">
        <f t="shared" si="5"/>
        <v>8.033983883736665</v>
      </c>
    </row>
    <row r="290" spans="6:7" ht="12.75">
      <c r="F290">
        <v>289</v>
      </c>
      <c r="G290" s="1">
        <f t="shared" si="5"/>
        <v>8.035058532732043</v>
      </c>
    </row>
    <row r="291" spans="6:7" ht="12.75">
      <c r="F291">
        <v>290</v>
      </c>
      <c r="G291" s="1">
        <f t="shared" si="5"/>
        <v>8.036105218719108</v>
      </c>
    </row>
    <row r="292" spans="6:7" ht="12.75">
      <c r="F292">
        <v>291</v>
      </c>
      <c r="G292" s="1">
        <f t="shared" si="5"/>
        <v>8.037123349955166</v>
      </c>
    </row>
    <row r="293" spans="6:7" ht="12.75">
      <c r="F293">
        <v>292</v>
      </c>
      <c r="G293" s="1">
        <f t="shared" si="5"/>
        <v>8.038112245384584</v>
      </c>
    </row>
    <row r="294" spans="6:7" ht="12.75">
      <c r="F294">
        <v>293</v>
      </c>
      <c r="G294" s="1">
        <f t="shared" si="5"/>
        <v>8.039071328150214</v>
      </c>
    </row>
    <row r="295" spans="6:7" ht="12.75">
      <c r="F295">
        <v>294</v>
      </c>
      <c r="G295" s="1">
        <f t="shared" si="5"/>
        <v>8.039999961853027</v>
      </c>
    </row>
    <row r="296" spans="6:7" ht="12.75">
      <c r="F296">
        <v>295</v>
      </c>
      <c r="G296" s="1">
        <f t="shared" si="5"/>
        <v>8.040897908123604</v>
      </c>
    </row>
    <row r="297" spans="6:7" ht="12.75">
      <c r="F297">
        <v>296</v>
      </c>
      <c r="G297" s="1">
        <f t="shared" si="5"/>
        <v>8.04176577311448</v>
      </c>
    </row>
    <row r="298" spans="6:7" ht="12.75">
      <c r="F298">
        <v>297</v>
      </c>
      <c r="G298" s="1">
        <f t="shared" si="5"/>
        <v>8.042604071556593</v>
      </c>
    </row>
    <row r="299" spans="6:7" ht="12.75">
      <c r="F299">
        <v>298</v>
      </c>
      <c r="G299" s="1">
        <f t="shared" si="5"/>
        <v>8.043414741584558</v>
      </c>
    </row>
    <row r="300" spans="6:7" ht="12.75">
      <c r="F300">
        <v>299</v>
      </c>
      <c r="G300" s="1">
        <f t="shared" si="5"/>
        <v>8.044198298046904</v>
      </c>
    </row>
    <row r="301" spans="6:7" ht="12.75">
      <c r="F301">
        <v>300</v>
      </c>
      <c r="G301" s="1">
        <f t="shared" si="5"/>
        <v>8.044955730181043</v>
      </c>
    </row>
    <row r="302" spans="6:7" ht="12.75">
      <c r="F302">
        <v>301</v>
      </c>
      <c r="G302" s="1">
        <f t="shared" si="5"/>
        <v>8.045687552266028</v>
      </c>
    </row>
    <row r="303" spans="6:7" ht="12.75">
      <c r="F303">
        <v>302</v>
      </c>
      <c r="G303" s="1">
        <f t="shared" si="5"/>
        <v>8.046395703347638</v>
      </c>
    </row>
    <row r="304" spans="6:7" ht="12.75">
      <c r="F304">
        <v>303</v>
      </c>
      <c r="G304" s="1">
        <f t="shared" si="5"/>
        <v>8.04708069781512</v>
      </c>
    </row>
    <row r="305" spans="6:7" ht="12.75">
      <c r="F305">
        <v>304</v>
      </c>
      <c r="G305" s="1">
        <f t="shared" si="5"/>
        <v>8.047743524905886</v>
      </c>
    </row>
    <row r="306" spans="6:7" ht="12.75">
      <c r="F306">
        <v>305</v>
      </c>
      <c r="G306" s="1">
        <f t="shared" si="5"/>
        <v>8.048384698476742</v>
      </c>
    </row>
    <row r="307" spans="6:7" ht="12.75">
      <c r="F307">
        <v>306</v>
      </c>
      <c r="G307" s="1">
        <f t="shared" si="5"/>
        <v>8.049006158425366</v>
      </c>
    </row>
    <row r="308" spans="6:7" ht="12.75">
      <c r="F308">
        <v>307</v>
      </c>
      <c r="G308" s="1">
        <f t="shared" si="5"/>
        <v>8.04960841871135</v>
      </c>
    </row>
    <row r="309" spans="6:7" ht="12.75">
      <c r="F309">
        <v>308</v>
      </c>
      <c r="G309" s="1">
        <f t="shared" si="5"/>
        <v>8.050192468572105</v>
      </c>
    </row>
    <row r="310" spans="6:7" ht="12.75">
      <c r="F310">
        <v>309</v>
      </c>
      <c r="G310" s="1">
        <f t="shared" si="5"/>
        <v>8.050758821471828</v>
      </c>
    </row>
    <row r="311" spans="6:7" ht="12.75">
      <c r="F311">
        <v>310</v>
      </c>
      <c r="G311" s="1">
        <f t="shared" si="5"/>
        <v>8.051309418100828</v>
      </c>
    </row>
    <row r="312" spans="6:7" ht="12.75">
      <c r="F312">
        <v>311</v>
      </c>
      <c r="G312" s="1">
        <f t="shared" si="5"/>
        <v>8.051844772018681</v>
      </c>
    </row>
    <row r="313" spans="6:7" ht="12.75">
      <c r="F313">
        <v>312</v>
      </c>
      <c r="G313" s="1">
        <f t="shared" si="5"/>
        <v>8.052365872462794</v>
      </c>
    </row>
    <row r="314" spans="6:7" ht="12.75">
      <c r="F314">
        <v>313</v>
      </c>
      <c r="G314" s="1">
        <f t="shared" si="5"/>
        <v>8.052873232534381</v>
      </c>
    </row>
    <row r="315" spans="6:7" ht="12.75">
      <c r="F315">
        <v>314</v>
      </c>
      <c r="G315" s="1">
        <f t="shared" si="5"/>
        <v>8.053368793657127</v>
      </c>
    </row>
    <row r="316" spans="6:7" ht="12.75">
      <c r="F316">
        <v>315</v>
      </c>
      <c r="G316" s="1">
        <f t="shared" si="5"/>
        <v>8.053853069020212</v>
      </c>
    </row>
    <row r="317" spans="6:7" ht="12.75">
      <c r="F317">
        <v>316</v>
      </c>
      <c r="G317" s="1">
        <f t="shared" si="5"/>
        <v>8.054327047861047</v>
      </c>
    </row>
    <row r="318" spans="6:7" ht="12.75">
      <c r="F318">
        <v>317</v>
      </c>
      <c r="G318" s="1">
        <f t="shared" si="5"/>
        <v>8.054791242947498</v>
      </c>
    </row>
    <row r="319" spans="6:7" ht="12.75">
      <c r="F319">
        <v>318</v>
      </c>
      <c r="G319" s="1">
        <f t="shared" si="5"/>
        <v>8.055247596377352</v>
      </c>
    </row>
    <row r="320" spans="6:7" ht="12.75">
      <c r="F320">
        <v>319</v>
      </c>
      <c r="G320" s="1">
        <f t="shared" si="5"/>
        <v>8.055696620999038</v>
      </c>
    </row>
    <row r="321" spans="6:7" ht="12.75">
      <c r="F321">
        <v>320</v>
      </c>
      <c r="G321" s="1">
        <f t="shared" si="5"/>
        <v>8.056139306049962</v>
      </c>
    </row>
    <row r="322" spans="6:7" ht="12.75">
      <c r="F322">
        <v>321</v>
      </c>
      <c r="G322" s="1">
        <f t="shared" si="5"/>
        <v>8.056576163994269</v>
      </c>
    </row>
    <row r="323" spans="6:7" ht="12.75">
      <c r="F323">
        <v>322</v>
      </c>
      <c r="G323" s="1">
        <f aca="true" t="shared" si="6" ref="G323:G386">cubic_spline($A$2:$A$24,$B$2:$B$24,F323)</f>
        <v>8.057009137544599</v>
      </c>
    </row>
    <row r="324" spans="6:7" ht="12.75">
      <c r="F324">
        <v>323</v>
      </c>
      <c r="G324" s="1">
        <f t="shared" si="6"/>
        <v>8.057438739238249</v>
      </c>
    </row>
    <row r="325" spans="6:7" ht="12.75">
      <c r="F325">
        <v>324</v>
      </c>
      <c r="G325" s="1">
        <f t="shared" si="6"/>
        <v>8.057865958312627</v>
      </c>
    </row>
    <row r="326" spans="6:7" ht="12.75">
      <c r="F326">
        <v>325</v>
      </c>
      <c r="G326" s="1">
        <f t="shared" si="6"/>
        <v>8.05829130695779</v>
      </c>
    </row>
    <row r="327" spans="6:7" ht="12.75">
      <c r="F327">
        <v>326</v>
      </c>
      <c r="G327" s="1">
        <f t="shared" si="6"/>
        <v>8.058716728441961</v>
      </c>
    </row>
    <row r="328" spans="6:7" ht="12.75">
      <c r="F328">
        <v>327</v>
      </c>
      <c r="G328" s="1">
        <f t="shared" si="6"/>
        <v>8.059142735020941</v>
      </c>
    </row>
    <row r="329" spans="6:7" ht="12.75">
      <c r="F329">
        <v>328</v>
      </c>
      <c r="G329" s="1">
        <f t="shared" si="6"/>
        <v>8.05957031593214</v>
      </c>
    </row>
    <row r="330" spans="6:7" ht="12.75">
      <c r="F330">
        <v>329</v>
      </c>
      <c r="G330" s="1">
        <f t="shared" si="6"/>
        <v>8.06000022176706</v>
      </c>
    </row>
    <row r="331" spans="6:7" ht="12.75">
      <c r="F331">
        <v>330</v>
      </c>
      <c r="G331" s="1">
        <f t="shared" si="6"/>
        <v>8.060433919026682</v>
      </c>
    </row>
    <row r="332" spans="6:7" ht="12.75">
      <c r="F332">
        <v>331</v>
      </c>
      <c r="G332" s="1">
        <f t="shared" si="6"/>
        <v>8.06087191963021</v>
      </c>
    </row>
    <row r="333" spans="6:7" ht="12.75">
      <c r="F333">
        <v>332</v>
      </c>
      <c r="G333" s="1">
        <f t="shared" si="6"/>
        <v>8.061315690191595</v>
      </c>
    </row>
    <row r="334" spans="6:7" ht="12.75">
      <c r="F334">
        <v>333</v>
      </c>
      <c r="G334" s="1">
        <f t="shared" si="6"/>
        <v>8.061765742520777</v>
      </c>
    </row>
    <row r="335" spans="6:7" ht="12.75">
      <c r="F335">
        <v>334</v>
      </c>
      <c r="G335" s="1">
        <f t="shared" si="6"/>
        <v>8.062223543337266</v>
      </c>
    </row>
    <row r="336" spans="6:7" ht="12.75">
      <c r="F336">
        <v>335</v>
      </c>
      <c r="G336" s="1">
        <f t="shared" si="6"/>
        <v>8.06268960434915</v>
      </c>
    </row>
    <row r="337" spans="6:7" ht="12.75">
      <c r="F337">
        <v>336</v>
      </c>
      <c r="G337" s="1">
        <f t="shared" si="6"/>
        <v>8.063165392374085</v>
      </c>
    </row>
    <row r="338" spans="6:7" ht="12.75">
      <c r="F338">
        <v>337</v>
      </c>
      <c r="G338" s="1">
        <f t="shared" si="6"/>
        <v>8.06365141902571</v>
      </c>
    </row>
    <row r="339" spans="6:7" ht="12.75">
      <c r="F339">
        <v>338</v>
      </c>
      <c r="G339" s="1">
        <f t="shared" si="6"/>
        <v>8.064149151212435</v>
      </c>
    </row>
    <row r="340" spans="6:7" ht="12.75">
      <c r="F340">
        <v>339</v>
      </c>
      <c r="G340" s="1">
        <f t="shared" si="6"/>
        <v>8.064659100460851</v>
      </c>
    </row>
    <row r="341" spans="6:7" ht="12.75">
      <c r="F341">
        <v>340</v>
      </c>
      <c r="G341" s="1">
        <f t="shared" si="6"/>
        <v>8.065182733762706</v>
      </c>
    </row>
    <row r="342" spans="6:7" ht="12.75">
      <c r="F342">
        <v>341</v>
      </c>
      <c r="G342" s="1">
        <f t="shared" si="6"/>
        <v>8.065720562564957</v>
      </c>
    </row>
    <row r="343" spans="6:7" ht="12.75">
      <c r="F343">
        <v>342</v>
      </c>
      <c r="G343" s="1">
        <f t="shared" si="6"/>
        <v>8.066274053935283</v>
      </c>
    </row>
    <row r="344" spans="6:7" ht="12.75">
      <c r="F344">
        <v>343</v>
      </c>
      <c r="G344" s="1">
        <f t="shared" si="6"/>
        <v>8.066843719248414</v>
      </c>
    </row>
    <row r="345" spans="6:7" ht="12.75">
      <c r="F345">
        <v>344</v>
      </c>
      <c r="G345" s="1">
        <f t="shared" si="6"/>
        <v>8.06743102564055</v>
      </c>
    </row>
    <row r="346" spans="6:7" ht="12.75">
      <c r="F346">
        <v>345</v>
      </c>
      <c r="G346" s="1">
        <f t="shared" si="6"/>
        <v>8.06803660391494</v>
      </c>
    </row>
    <row r="347" spans="6:7" ht="12.75">
      <c r="F347">
        <v>346</v>
      </c>
      <c r="G347" s="1">
        <f t="shared" si="6"/>
        <v>8.068661562788899</v>
      </c>
    </row>
    <row r="348" spans="6:7" ht="12.75">
      <c r="F348">
        <v>347</v>
      </c>
      <c r="G348" s="1">
        <f t="shared" si="6"/>
        <v>8.069306891501224</v>
      </c>
    </row>
    <row r="349" spans="6:7" ht="12.75">
      <c r="F349">
        <v>348</v>
      </c>
      <c r="G349" s="1">
        <f t="shared" si="6"/>
        <v>8.069973579290714</v>
      </c>
    </row>
    <row r="350" spans="6:7" ht="12.75">
      <c r="F350">
        <v>349</v>
      </c>
      <c r="G350" s="1">
        <f t="shared" si="6"/>
        <v>8.070662615396168</v>
      </c>
    </row>
    <row r="351" spans="6:7" ht="12.75">
      <c r="F351">
        <v>350</v>
      </c>
      <c r="G351" s="1">
        <f t="shared" si="6"/>
        <v>8.071374989056382</v>
      </c>
    </row>
    <row r="352" spans="6:7" ht="12.75">
      <c r="F352">
        <v>351</v>
      </c>
      <c r="G352" s="1">
        <f t="shared" si="6"/>
        <v>8.072111689510157</v>
      </c>
    </row>
    <row r="353" spans="6:7" ht="12.75">
      <c r="F353">
        <v>352</v>
      </c>
      <c r="G353" s="1">
        <f t="shared" si="6"/>
        <v>8.07287370599629</v>
      </c>
    </row>
    <row r="354" spans="6:7" ht="12.75">
      <c r="F354">
        <v>353</v>
      </c>
      <c r="G354" s="1">
        <f t="shared" si="6"/>
        <v>8.07366202775358</v>
      </c>
    </row>
    <row r="355" spans="6:7" ht="12.75">
      <c r="F355">
        <v>354</v>
      </c>
      <c r="G355" s="1">
        <f t="shared" si="6"/>
        <v>8.074477644020824</v>
      </c>
    </row>
    <row r="356" spans="6:7" ht="12.75">
      <c r="F356">
        <v>355</v>
      </c>
      <c r="G356" s="1">
        <f t="shared" si="6"/>
        <v>8.075321544036822</v>
      </c>
    </row>
    <row r="357" spans="6:7" ht="12.75">
      <c r="F357">
        <v>356</v>
      </c>
      <c r="G357" s="1">
        <f t="shared" si="6"/>
        <v>8.076194717040371</v>
      </c>
    </row>
    <row r="358" spans="6:7" ht="12.75">
      <c r="F358">
        <v>357</v>
      </c>
      <c r="G358" s="1">
        <f t="shared" si="6"/>
        <v>8.077098152270272</v>
      </c>
    </row>
    <row r="359" spans="6:7" ht="12.75">
      <c r="F359">
        <v>358</v>
      </c>
      <c r="G359" s="1">
        <f t="shared" si="6"/>
        <v>8.07803283896532</v>
      </c>
    </row>
    <row r="360" spans="6:7" ht="12.75">
      <c r="F360">
        <v>359</v>
      </c>
      <c r="G360" s="1">
        <f t="shared" si="6"/>
        <v>8.078999766364314</v>
      </c>
    </row>
    <row r="361" spans="6:7" ht="12.75">
      <c r="F361">
        <v>360</v>
      </c>
      <c r="G361" s="1">
        <f t="shared" si="6"/>
        <v>8.079999923706055</v>
      </c>
    </row>
    <row r="362" spans="6:7" ht="12.75">
      <c r="F362">
        <v>361</v>
      </c>
      <c r="G362" s="1">
        <f t="shared" si="6"/>
        <v>8.081034094336648</v>
      </c>
    </row>
    <row r="363" spans="6:7" ht="12.75">
      <c r="F363">
        <v>362</v>
      </c>
      <c r="G363" s="1">
        <f t="shared" si="6"/>
        <v>8.082101863657156</v>
      </c>
    </row>
    <row r="364" spans="6:7" ht="12.75">
      <c r="F364">
        <v>363</v>
      </c>
      <c r="G364" s="1">
        <f t="shared" si="6"/>
        <v>8.083202611180036</v>
      </c>
    </row>
    <row r="365" spans="6:7" ht="12.75">
      <c r="F365">
        <v>364</v>
      </c>
      <c r="G365" s="1">
        <f t="shared" si="6"/>
        <v>8.084335716417735</v>
      </c>
    </row>
    <row r="366" spans="6:7" ht="12.75">
      <c r="F366">
        <v>365</v>
      </c>
      <c r="G366" s="1">
        <f t="shared" si="6"/>
        <v>8.08550008204555</v>
      </c>
    </row>
    <row r="367" spans="6:7" ht="12.75">
      <c r="F367">
        <v>366</v>
      </c>
      <c r="G367" s="1">
        <f t="shared" si="6"/>
        <v>8.086696041250251</v>
      </c>
    </row>
    <row r="368" spans="6:7" ht="12.75">
      <c r="F368">
        <v>367</v>
      </c>
      <c r="G368" s="1">
        <f t="shared" si="6"/>
        <v>8.087922496707131</v>
      </c>
    </row>
    <row r="369" spans="6:7" ht="12.75">
      <c r="F369">
        <v>368</v>
      </c>
      <c r="G369" s="1">
        <f t="shared" si="6"/>
        <v>8.089178827928642</v>
      </c>
    </row>
    <row r="370" spans="6:7" ht="12.75">
      <c r="F370">
        <v>369</v>
      </c>
      <c r="G370" s="1">
        <f t="shared" si="6"/>
        <v>8.090464414427236</v>
      </c>
    </row>
    <row r="371" spans="6:7" ht="12.75">
      <c r="F371">
        <v>370</v>
      </c>
      <c r="G371" s="1">
        <f t="shared" si="6"/>
        <v>8.091778635715366</v>
      </c>
    </row>
    <row r="372" spans="6:7" ht="12.75">
      <c r="F372">
        <v>371</v>
      </c>
      <c r="G372" s="1">
        <f t="shared" si="6"/>
        <v>8.093120871305485</v>
      </c>
    </row>
    <row r="373" spans="6:7" ht="12.75">
      <c r="F373">
        <v>372</v>
      </c>
      <c r="G373" s="1">
        <f t="shared" si="6"/>
        <v>8.094490500710048</v>
      </c>
    </row>
    <row r="374" spans="6:7" ht="12.75">
      <c r="F374">
        <v>373</v>
      </c>
      <c r="G374" s="1">
        <f t="shared" si="6"/>
        <v>8.095886903441501</v>
      </c>
    </row>
    <row r="375" spans="6:7" ht="12.75">
      <c r="F375">
        <v>374</v>
      </c>
      <c r="G375" s="1">
        <f t="shared" si="6"/>
        <v>8.097308982175143</v>
      </c>
    </row>
    <row r="376" spans="6:7" ht="12.75">
      <c r="F376">
        <v>375</v>
      </c>
      <c r="G376" s="1">
        <f t="shared" si="6"/>
        <v>8.098757070097742</v>
      </c>
    </row>
    <row r="377" spans="6:7" ht="12.75">
      <c r="F377">
        <v>376</v>
      </c>
      <c r="G377" s="1">
        <f t="shared" si="6"/>
        <v>8.100230069884592</v>
      </c>
    </row>
    <row r="378" spans="6:7" ht="12.75">
      <c r="F378">
        <v>377</v>
      </c>
      <c r="G378" s="1">
        <f t="shared" si="6"/>
        <v>8.101727361048146</v>
      </c>
    </row>
    <row r="379" spans="6:7" ht="12.75">
      <c r="F379">
        <v>378</v>
      </c>
      <c r="G379" s="1">
        <f t="shared" si="6"/>
        <v>8.103248323100855</v>
      </c>
    </row>
    <row r="380" spans="6:7" ht="12.75">
      <c r="F380">
        <v>379</v>
      </c>
      <c r="G380" s="1">
        <f t="shared" si="6"/>
        <v>8.104792335555173</v>
      </c>
    </row>
    <row r="381" spans="6:7" ht="12.75">
      <c r="F381">
        <v>380</v>
      </c>
      <c r="G381" s="1">
        <f t="shared" si="6"/>
        <v>8.10635877792355</v>
      </c>
    </row>
    <row r="382" spans="6:7" ht="12.75">
      <c r="F382">
        <v>381</v>
      </c>
      <c r="G382" s="1">
        <f t="shared" si="6"/>
        <v>8.107947029718442</v>
      </c>
    </row>
    <row r="383" spans="6:7" ht="12.75">
      <c r="F383">
        <v>382</v>
      </c>
      <c r="G383" s="1">
        <f t="shared" si="6"/>
        <v>8.1095564704523</v>
      </c>
    </row>
    <row r="384" spans="6:7" ht="12.75">
      <c r="F384">
        <v>383</v>
      </c>
      <c r="G384" s="1">
        <f t="shared" si="6"/>
        <v>8.111186479637576</v>
      </c>
    </row>
    <row r="385" spans="6:7" ht="12.75">
      <c r="F385">
        <v>384</v>
      </c>
      <c r="G385" s="1">
        <f t="shared" si="6"/>
        <v>8.112835959949562</v>
      </c>
    </row>
    <row r="386" spans="6:7" ht="12.75">
      <c r="F386">
        <v>385</v>
      </c>
      <c r="G386" s="1">
        <f t="shared" si="6"/>
        <v>8.114505244575033</v>
      </c>
    </row>
    <row r="387" spans="6:7" ht="12.75">
      <c r="F387">
        <v>386</v>
      </c>
      <c r="G387" s="1">
        <f aca="true" t="shared" si="7" ref="G387:G450">cubic_spline($A$2:$A$24,$B$2:$B$24,F387)</f>
        <v>8.116193236189277</v>
      </c>
    </row>
    <row r="388" spans="6:7" ht="12.75">
      <c r="F388">
        <v>387</v>
      </c>
      <c r="G388" s="1">
        <f t="shared" si="7"/>
        <v>8.11789931430475</v>
      </c>
    </row>
    <row r="389" spans="6:7" ht="12.75">
      <c r="F389">
        <v>388</v>
      </c>
      <c r="G389" s="1">
        <f t="shared" si="7"/>
        <v>8.119622858433903</v>
      </c>
    </row>
    <row r="390" spans="6:7" ht="12.75">
      <c r="F390">
        <v>389</v>
      </c>
      <c r="G390" s="1">
        <f t="shared" si="7"/>
        <v>8.121363248089189</v>
      </c>
    </row>
    <row r="391" spans="6:7" ht="12.75">
      <c r="F391">
        <v>390</v>
      </c>
      <c r="G391" s="1">
        <f t="shared" si="7"/>
        <v>8.123119862783058</v>
      </c>
    </row>
    <row r="392" spans="6:7" ht="12.75">
      <c r="F392">
        <v>391</v>
      </c>
      <c r="G392" s="1">
        <f t="shared" si="7"/>
        <v>8.12489208202797</v>
      </c>
    </row>
    <row r="393" spans="6:7" ht="12.75">
      <c r="F393">
        <v>392</v>
      </c>
      <c r="G393" s="1">
        <f t="shared" si="7"/>
        <v>8.126679285336369</v>
      </c>
    </row>
    <row r="394" spans="6:7" ht="12.75">
      <c r="F394">
        <v>393</v>
      </c>
      <c r="G394" s="1">
        <f t="shared" si="7"/>
        <v>8.128480375579525</v>
      </c>
    </row>
    <row r="395" spans="6:7" ht="12.75">
      <c r="F395">
        <v>394</v>
      </c>
      <c r="G395" s="1">
        <f t="shared" si="7"/>
        <v>8.130295685584388</v>
      </c>
    </row>
    <row r="396" spans="6:7" ht="12.75">
      <c r="F396">
        <v>395</v>
      </c>
      <c r="G396" s="1">
        <f t="shared" si="7"/>
        <v>8.132123879770496</v>
      </c>
    </row>
    <row r="397" spans="6:7" ht="12.75">
      <c r="F397">
        <v>396</v>
      </c>
      <c r="G397" s="1">
        <f t="shared" si="7"/>
        <v>8.133964814487467</v>
      </c>
    </row>
    <row r="398" spans="6:7" ht="12.75">
      <c r="F398">
        <v>397</v>
      </c>
      <c r="G398" s="1">
        <f t="shared" si="7"/>
        <v>8.135817630829168</v>
      </c>
    </row>
    <row r="399" spans="6:7" ht="12.75">
      <c r="F399">
        <v>398</v>
      </c>
      <c r="G399" s="1">
        <f t="shared" si="7"/>
        <v>8.137681708308053</v>
      </c>
    </row>
    <row r="400" spans="6:7" ht="12.75">
      <c r="F400">
        <v>399</v>
      </c>
      <c r="G400" s="1">
        <f t="shared" si="7"/>
        <v>8.139556426436577</v>
      </c>
    </row>
    <row r="401" spans="6:7" ht="12.75">
      <c r="F401">
        <v>400</v>
      </c>
      <c r="G401" s="1">
        <f t="shared" si="7"/>
        <v>8.141440926308615</v>
      </c>
    </row>
    <row r="402" spans="6:7" ht="12.75">
      <c r="F402">
        <v>401</v>
      </c>
      <c r="G402" s="1">
        <f t="shared" si="7"/>
        <v>8.143335064273769</v>
      </c>
    </row>
    <row r="403" spans="6:7" ht="12.75">
      <c r="F403">
        <v>402</v>
      </c>
      <c r="G403" s="1">
        <f t="shared" si="7"/>
        <v>8.145237981425922</v>
      </c>
    </row>
    <row r="404" spans="6:7" ht="12.75">
      <c r="F404">
        <v>403</v>
      </c>
      <c r="G404" s="1">
        <f t="shared" si="7"/>
        <v>8.147149057277522</v>
      </c>
    </row>
    <row r="405" spans="6:7" ht="12.75">
      <c r="F405">
        <v>404</v>
      </c>
      <c r="G405" s="1">
        <f t="shared" si="7"/>
        <v>8.149067671341022</v>
      </c>
    </row>
    <row r="406" spans="6:7" ht="12.75">
      <c r="F406">
        <v>405</v>
      </c>
      <c r="G406" s="1">
        <f t="shared" si="7"/>
        <v>8.150992964710294</v>
      </c>
    </row>
    <row r="407" spans="6:7" ht="12.75">
      <c r="F407">
        <v>406</v>
      </c>
      <c r="G407" s="1">
        <f t="shared" si="7"/>
        <v>8.15292479373495</v>
      </c>
    </row>
    <row r="408" spans="6:7" ht="12.75">
      <c r="F408">
        <v>407</v>
      </c>
      <c r="G408" s="1">
        <f t="shared" si="7"/>
        <v>8.154862299508864</v>
      </c>
    </row>
    <row r="409" spans="6:7" ht="12.75">
      <c r="F409">
        <v>408</v>
      </c>
      <c r="G409" s="1">
        <f t="shared" si="7"/>
        <v>8.156804861544485</v>
      </c>
    </row>
    <row r="410" spans="6:7" ht="12.75">
      <c r="F410">
        <v>409</v>
      </c>
      <c r="G410" s="1">
        <f t="shared" si="7"/>
        <v>8.15875162122948</v>
      </c>
    </row>
    <row r="411" spans="6:7" ht="12.75">
      <c r="F411">
        <v>410</v>
      </c>
      <c r="G411" s="1">
        <f t="shared" si="7"/>
        <v>8.160702315124496</v>
      </c>
    </row>
    <row r="412" spans="6:7" ht="12.75">
      <c r="F412">
        <v>411</v>
      </c>
      <c r="G412" s="1">
        <f t="shared" si="7"/>
        <v>8.162656323027356</v>
      </c>
    </row>
    <row r="413" spans="6:7" ht="12.75">
      <c r="F413">
        <v>412</v>
      </c>
      <c r="G413" s="1">
        <f t="shared" si="7"/>
        <v>8.164612905241228</v>
      </c>
    </row>
    <row r="414" spans="6:7" ht="12.75">
      <c r="F414">
        <v>413</v>
      </c>
      <c r="G414" s="1">
        <f t="shared" si="7"/>
        <v>8.16657132206927</v>
      </c>
    </row>
    <row r="415" spans="6:7" ht="12.75">
      <c r="F415">
        <v>414</v>
      </c>
      <c r="G415" s="1">
        <f t="shared" si="7"/>
        <v>8.168531191442515</v>
      </c>
    </row>
    <row r="416" spans="6:7" ht="12.75">
      <c r="F416">
        <v>415</v>
      </c>
      <c r="G416" s="1">
        <f t="shared" si="7"/>
        <v>8.170491654454839</v>
      </c>
    </row>
    <row r="417" spans="6:7" ht="12.75">
      <c r="F417">
        <v>416</v>
      </c>
      <c r="G417" s="1">
        <f t="shared" si="7"/>
        <v>8.17245232903727</v>
      </c>
    </row>
    <row r="418" spans="6:7" ht="12.75">
      <c r="F418">
        <v>417</v>
      </c>
      <c r="G418" s="1">
        <f t="shared" si="7"/>
        <v>8.174412356455056</v>
      </c>
    </row>
    <row r="419" spans="6:7" ht="12.75">
      <c r="F419">
        <v>418</v>
      </c>
      <c r="G419" s="1">
        <f t="shared" si="7"/>
        <v>8.176371294693752</v>
      </c>
    </row>
    <row r="420" spans="6:7" ht="12.75">
      <c r="F420">
        <v>419</v>
      </c>
      <c r="G420" s="1">
        <f t="shared" si="7"/>
        <v>8.178328463830368</v>
      </c>
    </row>
    <row r="421" spans="6:7" ht="12.75">
      <c r="F421">
        <v>420</v>
      </c>
      <c r="G421" s="1">
        <f t="shared" si="7"/>
        <v>8.180283243377362</v>
      </c>
    </row>
    <row r="422" spans="6:7" ht="12.75">
      <c r="F422">
        <v>421</v>
      </c>
      <c r="G422" s="1">
        <f t="shared" si="7"/>
        <v>8.182235012935926</v>
      </c>
    </row>
    <row r="423" spans="6:7" ht="12.75">
      <c r="F423">
        <v>422</v>
      </c>
      <c r="G423" s="1">
        <f t="shared" si="7"/>
        <v>8.184183151841472</v>
      </c>
    </row>
    <row r="424" spans="6:7" ht="12.75">
      <c r="F424">
        <v>423</v>
      </c>
      <c r="G424" s="1">
        <f t="shared" si="7"/>
        <v>8.186127039739374</v>
      </c>
    </row>
    <row r="425" spans="6:7" ht="12.75">
      <c r="F425">
        <v>424</v>
      </c>
      <c r="G425" s="1">
        <f t="shared" si="7"/>
        <v>8.1880660560751</v>
      </c>
    </row>
    <row r="426" spans="6:7" ht="12.75">
      <c r="F426">
        <v>425</v>
      </c>
      <c r="G426" s="1">
        <f t="shared" si="7"/>
        <v>8.1899995803833</v>
      </c>
    </row>
    <row r="427" spans="6:7" ht="12.75">
      <c r="F427">
        <v>426</v>
      </c>
      <c r="G427" s="1">
        <f t="shared" si="7"/>
        <v>8.191927315538928</v>
      </c>
    </row>
    <row r="428" spans="6:7" ht="12.75">
      <c r="F428">
        <v>427</v>
      </c>
      <c r="G428" s="1">
        <f t="shared" si="7"/>
        <v>8.193848557138967</v>
      </c>
    </row>
    <row r="429" spans="6:7" ht="12.75">
      <c r="F429">
        <v>428</v>
      </c>
      <c r="G429" s="1">
        <f t="shared" si="7"/>
        <v>8.19576435339406</v>
      </c>
    </row>
    <row r="430" spans="6:7" ht="12.75">
      <c r="F430">
        <v>429</v>
      </c>
      <c r="G430" s="1">
        <f t="shared" si="7"/>
        <v>8.197674323270887</v>
      </c>
    </row>
    <row r="431" spans="6:7" ht="12.75">
      <c r="F431">
        <v>430</v>
      </c>
      <c r="G431" s="1">
        <f t="shared" si="7"/>
        <v>8.19957760881445</v>
      </c>
    </row>
    <row r="432" spans="6:7" ht="12.75">
      <c r="F432">
        <v>431</v>
      </c>
      <c r="G432" s="1">
        <f t="shared" si="7"/>
        <v>8.201476212036493</v>
      </c>
    </row>
    <row r="433" spans="6:7" ht="12.75">
      <c r="F433">
        <v>432</v>
      </c>
      <c r="G433" s="1">
        <f t="shared" si="7"/>
        <v>8.2033692750026</v>
      </c>
    </row>
    <row r="434" spans="6:7" ht="12.75">
      <c r="F434">
        <v>433</v>
      </c>
      <c r="G434" s="1">
        <f t="shared" si="7"/>
        <v>8.205256416535361</v>
      </c>
    </row>
    <row r="435" spans="6:7" ht="12.75">
      <c r="F435">
        <v>434</v>
      </c>
      <c r="G435" s="1">
        <f t="shared" si="7"/>
        <v>8.207138685092431</v>
      </c>
    </row>
    <row r="436" spans="6:7" ht="12.75">
      <c r="F436">
        <v>435</v>
      </c>
      <c r="G436" s="1">
        <f t="shared" si="7"/>
        <v>8.209015699515898</v>
      </c>
    </row>
    <row r="437" spans="6:7" ht="12.75">
      <c r="F437">
        <v>436</v>
      </c>
      <c r="G437" s="1">
        <f t="shared" si="7"/>
        <v>8.210887078572055</v>
      </c>
    </row>
    <row r="438" spans="6:7" ht="12.75">
      <c r="F438">
        <v>437</v>
      </c>
      <c r="G438" s="1">
        <f t="shared" si="7"/>
        <v>8.212753870832234</v>
      </c>
    </row>
    <row r="439" spans="6:7" ht="12.75">
      <c r="F439">
        <v>438</v>
      </c>
      <c r="G439" s="1">
        <f t="shared" si="7"/>
        <v>8.214615695081136</v>
      </c>
    </row>
    <row r="440" spans="6:7" ht="12.75">
      <c r="F440">
        <v>439</v>
      </c>
      <c r="G440" s="1">
        <f t="shared" si="7"/>
        <v>8.216472170032048</v>
      </c>
    </row>
    <row r="441" spans="6:7" ht="12.75">
      <c r="F441">
        <v>440</v>
      </c>
      <c r="G441" s="1">
        <f t="shared" si="7"/>
        <v>8.218324344363415</v>
      </c>
    </row>
    <row r="442" spans="6:7" ht="12.75">
      <c r="F442">
        <v>441</v>
      </c>
      <c r="G442" s="1">
        <f t="shared" si="7"/>
        <v>8.220171359968674</v>
      </c>
    </row>
    <row r="443" spans="6:7" ht="12.75">
      <c r="F443">
        <v>442</v>
      </c>
      <c r="G443" s="1">
        <f t="shared" si="7"/>
        <v>8.222013789185697</v>
      </c>
    </row>
    <row r="444" spans="6:7" ht="12.75">
      <c r="F444">
        <v>443</v>
      </c>
      <c r="G444" s="1">
        <f t="shared" si="7"/>
        <v>8.223852203956328</v>
      </c>
    </row>
    <row r="445" spans="6:7" ht="12.75">
      <c r="F445">
        <v>444</v>
      </c>
      <c r="G445" s="1">
        <f t="shared" si="7"/>
        <v>8.225686222960338</v>
      </c>
    </row>
    <row r="446" spans="6:7" ht="12.75">
      <c r="F446">
        <v>445</v>
      </c>
      <c r="G446" s="1">
        <f t="shared" si="7"/>
        <v>8.22751546481483</v>
      </c>
    </row>
    <row r="447" spans="6:7" ht="12.75">
      <c r="F447">
        <v>446</v>
      </c>
      <c r="G447" s="1">
        <f t="shared" si="7"/>
        <v>8.229340978392806</v>
      </c>
    </row>
    <row r="448" spans="6:7" ht="12.75">
      <c r="F448">
        <v>447</v>
      </c>
      <c r="G448" s="1">
        <f t="shared" si="7"/>
        <v>8.231162382326488</v>
      </c>
    </row>
    <row r="449" spans="6:7" ht="12.75">
      <c r="F449">
        <v>448</v>
      </c>
      <c r="G449" s="1">
        <f t="shared" si="7"/>
        <v>8.232979295189807</v>
      </c>
    </row>
    <row r="450" spans="6:7" ht="12.75">
      <c r="F450">
        <v>449</v>
      </c>
      <c r="G450" s="1">
        <f t="shared" si="7"/>
        <v>8.234792765943203</v>
      </c>
    </row>
    <row r="451" spans="6:7" ht="12.75">
      <c r="F451">
        <v>450</v>
      </c>
      <c r="G451" s="1">
        <f aca="true" t="shared" si="8" ref="G451:G514">cubic_spline($A$2:$A$24,$B$2:$B$24,F451)</f>
        <v>8.236602413174635</v>
      </c>
    </row>
    <row r="452" spans="6:7" ht="12.75">
      <c r="F452">
        <v>451</v>
      </c>
      <c r="G452" s="1">
        <f t="shared" si="8"/>
        <v>8.238407378580979</v>
      </c>
    </row>
    <row r="453" spans="6:7" ht="12.75">
      <c r="F453">
        <v>452</v>
      </c>
      <c r="G453" s="1">
        <f t="shared" si="8"/>
        <v>8.240209664877877</v>
      </c>
    </row>
    <row r="454" spans="6:7" ht="12.75">
      <c r="F454">
        <v>453</v>
      </c>
      <c r="G454" s="1">
        <f t="shared" si="8"/>
        <v>8.242008413775137</v>
      </c>
    </row>
    <row r="455" spans="6:7" ht="12.75">
      <c r="F455">
        <v>454</v>
      </c>
      <c r="G455" s="1">
        <f t="shared" si="8"/>
        <v>8.243803243770182</v>
      </c>
    </row>
    <row r="456" spans="6:7" ht="12.75">
      <c r="F456">
        <v>455</v>
      </c>
      <c r="G456" s="1">
        <f t="shared" si="8"/>
        <v>8.245595203978656</v>
      </c>
    </row>
    <row r="457" spans="6:7" ht="12.75">
      <c r="F457">
        <v>456</v>
      </c>
      <c r="G457" s="1">
        <f t="shared" si="8"/>
        <v>8.247383912909825</v>
      </c>
    </row>
    <row r="458" spans="6:7" ht="12.75">
      <c r="F458">
        <v>457</v>
      </c>
      <c r="G458" s="1">
        <f t="shared" si="8"/>
        <v>8.249169227482719</v>
      </c>
    </row>
    <row r="459" spans="6:7" ht="12.75">
      <c r="F459">
        <v>458</v>
      </c>
      <c r="G459" s="1">
        <f t="shared" si="8"/>
        <v>8.250951243097322</v>
      </c>
    </row>
    <row r="460" spans="6:7" ht="12.75">
      <c r="F460">
        <v>459</v>
      </c>
      <c r="G460" s="1">
        <f t="shared" si="8"/>
        <v>8.252730770430473</v>
      </c>
    </row>
    <row r="461" spans="6:7" ht="12.75">
      <c r="F461">
        <v>460</v>
      </c>
      <c r="G461" s="1">
        <f t="shared" si="8"/>
        <v>8.254507189512653</v>
      </c>
    </row>
    <row r="462" spans="6:7" ht="12.75">
      <c r="F462">
        <v>461</v>
      </c>
      <c r="G462" s="1">
        <f t="shared" si="8"/>
        <v>8.25628083417854</v>
      </c>
    </row>
    <row r="463" spans="6:7" ht="12.75">
      <c r="F463">
        <v>462</v>
      </c>
      <c r="G463" s="1">
        <f t="shared" si="8"/>
        <v>8.258052038281757</v>
      </c>
    </row>
    <row r="464" spans="6:7" ht="12.75">
      <c r="F464">
        <v>463</v>
      </c>
      <c r="G464" s="1">
        <f t="shared" si="8"/>
        <v>8.259820420242942</v>
      </c>
    </row>
    <row r="465" spans="6:7" ht="12.75">
      <c r="F465">
        <v>464</v>
      </c>
      <c r="G465" s="1">
        <f t="shared" si="8"/>
        <v>8.261586075492676</v>
      </c>
    </row>
    <row r="466" spans="6:7" ht="12.75">
      <c r="F466">
        <v>465</v>
      </c>
      <c r="G466" s="1">
        <f t="shared" si="8"/>
        <v>8.263349814734033</v>
      </c>
    </row>
    <row r="467" spans="6:7" ht="12.75">
      <c r="F467">
        <v>466</v>
      </c>
      <c r="G467" s="1">
        <f t="shared" si="8"/>
        <v>8.265111017943939</v>
      </c>
    </row>
    <row r="468" spans="6:7" ht="12.75">
      <c r="F468">
        <v>467</v>
      </c>
      <c r="G468" s="1">
        <f t="shared" si="8"/>
        <v>8.266870018984392</v>
      </c>
    </row>
    <row r="469" spans="6:7" ht="12.75">
      <c r="F469">
        <v>468</v>
      </c>
      <c r="G469" s="1">
        <f t="shared" si="8"/>
        <v>8.268627151731973</v>
      </c>
    </row>
    <row r="470" spans="6:7" ht="12.75">
      <c r="F470">
        <v>469</v>
      </c>
      <c r="G470" s="1">
        <f t="shared" si="8"/>
        <v>8.270381796141738</v>
      </c>
    </row>
    <row r="471" spans="6:7" ht="12.75">
      <c r="F471">
        <v>470</v>
      </c>
      <c r="G471" s="1">
        <f t="shared" si="8"/>
        <v>8.272134762924052</v>
      </c>
    </row>
    <row r="472" spans="6:7" ht="12.75">
      <c r="F472">
        <v>471</v>
      </c>
      <c r="G472" s="1">
        <f t="shared" si="8"/>
        <v>8.27388614754593</v>
      </c>
    </row>
    <row r="473" spans="6:7" ht="12.75">
      <c r="F473">
        <v>472</v>
      </c>
      <c r="G473" s="1">
        <f t="shared" si="8"/>
        <v>8.27563544915314</v>
      </c>
    </row>
    <row r="474" spans="6:7" ht="12.75">
      <c r="F474">
        <v>473</v>
      </c>
      <c r="G474" s="1">
        <f t="shared" si="8"/>
        <v>8.277383359305116</v>
      </c>
    </row>
    <row r="475" spans="6:7" ht="12.75">
      <c r="F475">
        <v>474</v>
      </c>
      <c r="G475" s="1">
        <f t="shared" si="8"/>
        <v>8.27912973491129</v>
      </c>
    </row>
    <row r="476" spans="6:7" ht="12.75">
      <c r="F476">
        <v>475</v>
      </c>
      <c r="G476" s="1">
        <f t="shared" si="8"/>
        <v>8.280874432876379</v>
      </c>
    </row>
    <row r="477" spans="6:7" ht="12.75">
      <c r="F477">
        <v>476</v>
      </c>
      <c r="G477" s="1">
        <f t="shared" si="8"/>
        <v>8.28261802551279</v>
      </c>
    </row>
    <row r="478" spans="6:7" ht="12.75">
      <c r="F478">
        <v>477</v>
      </c>
      <c r="G478" s="1">
        <f t="shared" si="8"/>
        <v>8.28436036972628</v>
      </c>
    </row>
    <row r="479" spans="6:7" ht="12.75">
      <c r="F479">
        <v>478</v>
      </c>
      <c r="G479" s="1">
        <f t="shared" si="8"/>
        <v>8.286101322418958</v>
      </c>
    </row>
    <row r="480" spans="6:7" ht="12.75">
      <c r="F480">
        <v>479</v>
      </c>
      <c r="G480" s="1">
        <f t="shared" si="8"/>
        <v>8.287841396304064</v>
      </c>
    </row>
    <row r="481" spans="6:7" ht="12.75">
      <c r="F481">
        <v>480</v>
      </c>
      <c r="G481" s="1">
        <f t="shared" si="8"/>
        <v>8.289580567493765</v>
      </c>
    </row>
    <row r="482" spans="6:7" ht="12.75">
      <c r="F482">
        <v>481</v>
      </c>
      <c r="G482" s="1">
        <f t="shared" si="8"/>
        <v>8.29131875252072</v>
      </c>
    </row>
    <row r="483" spans="6:7" ht="12.75">
      <c r="F483">
        <v>482</v>
      </c>
      <c r="G483" s="1">
        <f t="shared" si="8"/>
        <v>8.293056165995738</v>
      </c>
    </row>
    <row r="484" spans="6:7" ht="12.75">
      <c r="F484">
        <v>483</v>
      </c>
      <c r="G484" s="1">
        <f t="shared" si="8"/>
        <v>8.29479299272823</v>
      </c>
    </row>
    <row r="485" spans="6:7" ht="12.75">
      <c r="F485">
        <v>484</v>
      </c>
      <c r="G485" s="1">
        <f t="shared" si="8"/>
        <v>8.296529149222689</v>
      </c>
    </row>
    <row r="486" spans="6:7" ht="12.75">
      <c r="F486">
        <v>485</v>
      </c>
      <c r="G486" s="1">
        <f t="shared" si="8"/>
        <v>8.298264865005958</v>
      </c>
    </row>
    <row r="487" spans="6:7" ht="12.75">
      <c r="F487">
        <v>486</v>
      </c>
      <c r="G487" s="1">
        <f t="shared" si="8"/>
        <v>8.300000190734863</v>
      </c>
    </row>
    <row r="488" spans="6:7" ht="12.75">
      <c r="F488">
        <v>487</v>
      </c>
      <c r="G488" s="1">
        <f t="shared" si="8"/>
        <v>8.301735222759481</v>
      </c>
    </row>
    <row r="489" spans="6:7" ht="12.75">
      <c r="F489">
        <v>488</v>
      </c>
      <c r="G489" s="1">
        <f t="shared" si="8"/>
        <v>8.303469555792995</v>
      </c>
    </row>
    <row r="490" spans="6:7" ht="12.75">
      <c r="F490">
        <v>489</v>
      </c>
      <c r="G490" s="1">
        <f t="shared" si="8"/>
        <v>8.30520230862641</v>
      </c>
    </row>
    <row r="491" spans="6:7" ht="12.75">
      <c r="F491">
        <v>490</v>
      </c>
      <c r="G491" s="1">
        <f t="shared" si="8"/>
        <v>8.306934507460475</v>
      </c>
    </row>
    <row r="492" spans="6:7" ht="12.75">
      <c r="F492">
        <v>491</v>
      </c>
      <c r="G492" s="1">
        <f t="shared" si="8"/>
        <v>8.308663840631752</v>
      </c>
    </row>
    <row r="493" spans="6:7" ht="12.75">
      <c r="F493">
        <v>492</v>
      </c>
      <c r="G493" s="1">
        <f t="shared" si="8"/>
        <v>8.310391334285995</v>
      </c>
    </row>
    <row r="494" spans="6:7" ht="12.75">
      <c r="F494">
        <v>493</v>
      </c>
      <c r="G494" s="1">
        <f t="shared" si="8"/>
        <v>8.312116107272237</v>
      </c>
    </row>
    <row r="495" spans="6:7" ht="12.75">
      <c r="F495">
        <v>494</v>
      </c>
      <c r="G495" s="1">
        <f t="shared" si="8"/>
        <v>8.313837278435642</v>
      </c>
    </row>
    <row r="496" spans="6:7" ht="12.75">
      <c r="F496">
        <v>495</v>
      </c>
      <c r="G496" s="1">
        <f t="shared" si="8"/>
        <v>8.315555397090606</v>
      </c>
    </row>
    <row r="497" spans="6:7" ht="12.75">
      <c r="F497">
        <v>496</v>
      </c>
      <c r="G497" s="1">
        <f t="shared" si="8"/>
        <v>8.317269582083227</v>
      </c>
    </row>
    <row r="498" spans="6:7" ht="12.75">
      <c r="F498">
        <v>497</v>
      </c>
      <c r="G498" s="1">
        <f t="shared" si="8"/>
        <v>8.31897895225597</v>
      </c>
    </row>
    <row r="499" spans="6:7" ht="12.75">
      <c r="F499">
        <v>498</v>
      </c>
      <c r="G499" s="1">
        <f t="shared" si="8"/>
        <v>8.320684533765853</v>
      </c>
    </row>
    <row r="500" spans="6:7" ht="12.75">
      <c r="F500">
        <v>499</v>
      </c>
      <c r="G500" s="1">
        <f t="shared" si="8"/>
        <v>8.322384491781907</v>
      </c>
    </row>
    <row r="501" spans="6:7" ht="12.75">
      <c r="F501">
        <v>500</v>
      </c>
      <c r="G501" s="1">
        <f t="shared" si="8"/>
        <v>8.324078421981188</v>
      </c>
    </row>
    <row r="502" spans="6:7" ht="12.75">
      <c r="F502">
        <v>501</v>
      </c>
      <c r="G502" s="1">
        <f t="shared" si="8"/>
        <v>8.325766873688726</v>
      </c>
    </row>
    <row r="503" spans="6:7" ht="12.75">
      <c r="F503">
        <v>502</v>
      </c>
      <c r="G503" s="1">
        <f t="shared" si="8"/>
        <v>8.327448965745258</v>
      </c>
    </row>
    <row r="504" spans="6:7" ht="12.75">
      <c r="F504">
        <v>503</v>
      </c>
      <c r="G504" s="1">
        <f t="shared" si="8"/>
        <v>8.329123816988284</v>
      </c>
    </row>
    <row r="505" spans="6:7" ht="12.75">
      <c r="F505">
        <v>504</v>
      </c>
      <c r="G505" s="1">
        <f t="shared" si="8"/>
        <v>8.330791976747683</v>
      </c>
    </row>
    <row r="506" spans="6:7" ht="12.75">
      <c r="F506">
        <v>505</v>
      </c>
      <c r="G506" s="1">
        <f t="shared" si="8"/>
        <v>8.3324530406989</v>
      </c>
    </row>
    <row r="507" spans="6:7" ht="12.75">
      <c r="F507">
        <v>506</v>
      </c>
      <c r="G507" s="1">
        <f t="shared" si="8"/>
        <v>8.334105174002875</v>
      </c>
    </row>
    <row r="508" spans="6:7" ht="12.75">
      <c r="F508">
        <v>507</v>
      </c>
      <c r="G508" s="1">
        <f t="shared" si="8"/>
        <v>8.335749402831185</v>
      </c>
    </row>
    <row r="509" spans="6:7" ht="12.75">
      <c r="F509">
        <v>508</v>
      </c>
      <c r="G509" s="1">
        <f t="shared" si="8"/>
        <v>8.337384846019814</v>
      </c>
    </row>
    <row r="510" spans="6:7" ht="12.75">
      <c r="F510">
        <v>509</v>
      </c>
      <c r="G510" s="1">
        <f t="shared" si="8"/>
        <v>8.339010622401947</v>
      </c>
    </row>
    <row r="511" spans="6:7" ht="12.75">
      <c r="F511">
        <v>510</v>
      </c>
      <c r="G511" s="1">
        <f t="shared" si="8"/>
        <v>8.34062728131621</v>
      </c>
    </row>
    <row r="512" spans="6:7" ht="12.75">
      <c r="F512">
        <v>511</v>
      </c>
      <c r="G512" s="1">
        <f t="shared" si="8"/>
        <v>8.342233941596461</v>
      </c>
    </row>
    <row r="513" spans="6:7" ht="12.75">
      <c r="F513">
        <v>512</v>
      </c>
      <c r="G513" s="1">
        <f t="shared" si="8"/>
        <v>8.343829722073956</v>
      </c>
    </row>
    <row r="514" spans="6:7" ht="12.75">
      <c r="F514">
        <v>513</v>
      </c>
      <c r="G514" s="1">
        <f t="shared" si="8"/>
        <v>8.345415648928384</v>
      </c>
    </row>
    <row r="515" spans="6:7" ht="12.75">
      <c r="F515">
        <v>514</v>
      </c>
      <c r="G515" s="1">
        <f aca="true" t="shared" si="9" ref="G515:G578">cubic_spline($A$2:$A$24,$B$2:$B$24,F515)</f>
        <v>8.346989887317305</v>
      </c>
    </row>
    <row r="516" spans="6:7" ht="12.75">
      <c r="F516">
        <v>515</v>
      </c>
      <c r="G516" s="1">
        <f t="shared" si="9"/>
        <v>8.348552032907365</v>
      </c>
    </row>
    <row r="517" spans="6:7" ht="12.75">
      <c r="F517">
        <v>516</v>
      </c>
      <c r="G517" s="1">
        <f t="shared" si="9"/>
        <v>8.350102635044683</v>
      </c>
    </row>
    <row r="518" spans="6:7" ht="12.75">
      <c r="F518">
        <v>517</v>
      </c>
      <c r="G518" s="1">
        <f t="shared" si="9"/>
        <v>8.351640812559321</v>
      </c>
    </row>
    <row r="519" spans="6:7" ht="12.75">
      <c r="F519">
        <v>518</v>
      </c>
      <c r="G519" s="1">
        <f t="shared" si="9"/>
        <v>8.353165922699489</v>
      </c>
    </row>
    <row r="520" spans="6:7" ht="12.75">
      <c r="F520">
        <v>519</v>
      </c>
      <c r="G520" s="1">
        <f t="shared" si="9"/>
        <v>8.354678037972153</v>
      </c>
    </row>
    <row r="521" spans="6:7" ht="12.75">
      <c r="F521">
        <v>520</v>
      </c>
      <c r="G521" s="1">
        <f t="shared" si="9"/>
        <v>8.356176515629553</v>
      </c>
    </row>
    <row r="522" spans="6:7" ht="12.75">
      <c r="F522">
        <v>521</v>
      </c>
      <c r="G522" s="1">
        <f t="shared" si="9"/>
        <v>8.357660712917426</v>
      </c>
    </row>
    <row r="523" spans="6:7" ht="12.75">
      <c r="F523">
        <v>522</v>
      </c>
      <c r="G523" s="1">
        <f t="shared" si="9"/>
        <v>8.35913046392493</v>
      </c>
    </row>
    <row r="524" spans="6:7" ht="12.75">
      <c r="F524">
        <v>523</v>
      </c>
      <c r="G524" s="1">
        <f t="shared" si="9"/>
        <v>8.360585841160722</v>
      </c>
    </row>
    <row r="525" spans="6:7" ht="12.75">
      <c r="F525">
        <v>524</v>
      </c>
      <c r="G525" s="1">
        <f t="shared" si="9"/>
        <v>8.362025486613426</v>
      </c>
    </row>
    <row r="526" spans="6:7" ht="12.75">
      <c r="F526">
        <v>525</v>
      </c>
      <c r="G526" s="1">
        <f t="shared" si="9"/>
        <v>8.36344947279148</v>
      </c>
    </row>
    <row r="527" spans="6:7" ht="12.75">
      <c r="F527">
        <v>526</v>
      </c>
      <c r="G527" s="1">
        <f t="shared" si="9"/>
        <v>8.364857872204128</v>
      </c>
    </row>
    <row r="528" spans="6:7" ht="12.75">
      <c r="F528">
        <v>527</v>
      </c>
      <c r="G528" s="1">
        <f t="shared" si="9"/>
        <v>8.36624932683879</v>
      </c>
    </row>
    <row r="529" spans="6:7" ht="12.75">
      <c r="F529">
        <v>528</v>
      </c>
      <c r="G529" s="1">
        <f t="shared" si="9"/>
        <v>8.36762390920452</v>
      </c>
    </row>
    <row r="530" spans="6:7" ht="12.75">
      <c r="F530">
        <v>529</v>
      </c>
      <c r="G530" s="1">
        <f t="shared" si="9"/>
        <v>8.368981453392495</v>
      </c>
    </row>
    <row r="531" spans="6:7" ht="12.75">
      <c r="F531">
        <v>530</v>
      </c>
      <c r="G531" s="1">
        <f t="shared" si="9"/>
        <v>8.37032131664482</v>
      </c>
    </row>
    <row r="532" spans="6:7" ht="12.75">
      <c r="F532">
        <v>531</v>
      </c>
      <c r="G532" s="1">
        <f t="shared" si="9"/>
        <v>8.371642856215352</v>
      </c>
    </row>
    <row r="533" spans="6:7" ht="12.75">
      <c r="F533">
        <v>532</v>
      </c>
      <c r="G533" s="1">
        <f t="shared" si="9"/>
        <v>8.372946144614279</v>
      </c>
    </row>
    <row r="534" spans="6:7" ht="12.75">
      <c r="F534">
        <v>533</v>
      </c>
      <c r="G534" s="1">
        <f t="shared" si="9"/>
        <v>8.374230419873527</v>
      </c>
    </row>
    <row r="535" spans="6:7" ht="12.75">
      <c r="F535">
        <v>534</v>
      </c>
      <c r="G535" s="1">
        <f t="shared" si="9"/>
        <v>8.375495396877628</v>
      </c>
    </row>
    <row r="536" spans="6:7" ht="12.75">
      <c r="F536">
        <v>535</v>
      </c>
      <c r="G536" s="1">
        <f t="shared" si="9"/>
        <v>8.376740790502206</v>
      </c>
    </row>
    <row r="537" spans="6:7" ht="12.75">
      <c r="F537">
        <v>536</v>
      </c>
      <c r="G537" s="1">
        <f t="shared" si="9"/>
        <v>8.3779658387855</v>
      </c>
    </row>
    <row r="538" spans="6:7" ht="12.75">
      <c r="F538">
        <v>537</v>
      </c>
      <c r="G538" s="1">
        <f t="shared" si="9"/>
        <v>8.379170614238097</v>
      </c>
    </row>
    <row r="539" spans="6:7" ht="12.75">
      <c r="F539">
        <v>538</v>
      </c>
      <c r="G539" s="1">
        <f t="shared" si="9"/>
        <v>8.380354354898284</v>
      </c>
    </row>
    <row r="540" spans="6:7" ht="12.75">
      <c r="F540">
        <v>539</v>
      </c>
      <c r="G540" s="1">
        <f t="shared" si="9"/>
        <v>8.38151677564133</v>
      </c>
    </row>
    <row r="541" spans="6:7" ht="12.75">
      <c r="F541">
        <v>540</v>
      </c>
      <c r="G541" s="1">
        <f t="shared" si="9"/>
        <v>8.382657531745577</v>
      </c>
    </row>
    <row r="542" spans="6:7" ht="12.75">
      <c r="F542">
        <v>541</v>
      </c>
      <c r="G542" s="1">
        <f t="shared" si="9"/>
        <v>8.383776159272395</v>
      </c>
    </row>
    <row r="543" spans="6:7" ht="12.75">
      <c r="F543">
        <v>542</v>
      </c>
      <c r="G543" s="1">
        <f t="shared" si="9"/>
        <v>8.384872194284366</v>
      </c>
    </row>
    <row r="544" spans="6:7" ht="12.75">
      <c r="F544">
        <v>543</v>
      </c>
      <c r="G544" s="1">
        <f t="shared" si="9"/>
        <v>8.385945292056013</v>
      </c>
    </row>
    <row r="545" spans="6:7" ht="12.75">
      <c r="F545">
        <v>544</v>
      </c>
      <c r="G545" s="1">
        <f t="shared" si="9"/>
        <v>8.386995107861901</v>
      </c>
    </row>
    <row r="546" spans="6:7" ht="12.75">
      <c r="F546">
        <v>545</v>
      </c>
      <c r="G546" s="1">
        <f t="shared" si="9"/>
        <v>8.388021118158614</v>
      </c>
    </row>
    <row r="547" spans="6:7" ht="12.75">
      <c r="F547">
        <v>546</v>
      </c>
      <c r="G547" s="1">
        <f t="shared" si="9"/>
        <v>8.38902300802371</v>
      </c>
    </row>
    <row r="548" spans="6:7" ht="12.75">
      <c r="F548">
        <v>547</v>
      </c>
      <c r="G548" s="1">
        <f t="shared" si="9"/>
        <v>8.390000343322754</v>
      </c>
    </row>
    <row r="549" spans="6:7" ht="12.75">
      <c r="F549">
        <v>548</v>
      </c>
      <c r="G549" s="1">
        <f t="shared" si="9"/>
        <v>8.390952899098052</v>
      </c>
    </row>
    <row r="550" spans="6:7" ht="12.75">
      <c r="F550">
        <v>549</v>
      </c>
      <c r="G550" s="1">
        <f t="shared" si="9"/>
        <v>8.391881370010875</v>
      </c>
    </row>
    <row r="551" spans="6:7" ht="12.75">
      <c r="F551">
        <v>550</v>
      </c>
      <c r="G551" s="1">
        <f t="shared" si="9"/>
        <v>8.39278663009326</v>
      </c>
    </row>
    <row r="552" spans="6:7" ht="12.75">
      <c r="F552">
        <v>551</v>
      </c>
      <c r="G552" s="1">
        <f t="shared" si="9"/>
        <v>8.393669553377245</v>
      </c>
    </row>
    <row r="553" spans="6:7" ht="12.75">
      <c r="F553">
        <v>552</v>
      </c>
      <c r="G553" s="1">
        <f t="shared" si="9"/>
        <v>8.394531013894865</v>
      </c>
    </row>
    <row r="554" spans="6:7" ht="12.75">
      <c r="F554">
        <v>553</v>
      </c>
      <c r="G554" s="1">
        <f t="shared" si="9"/>
        <v>8.395371885678149</v>
      </c>
    </row>
    <row r="555" spans="6:7" ht="12.75">
      <c r="F555">
        <v>554</v>
      </c>
      <c r="G555" s="1">
        <f t="shared" si="9"/>
        <v>8.396193519596299</v>
      </c>
    </row>
    <row r="556" spans="6:7" ht="12.75">
      <c r="F556">
        <v>555</v>
      </c>
      <c r="G556" s="1">
        <f t="shared" si="9"/>
        <v>8.39699583600703</v>
      </c>
    </row>
    <row r="557" spans="6:7" ht="12.75">
      <c r="F557">
        <v>556</v>
      </c>
      <c r="G557" s="1">
        <f t="shared" si="9"/>
        <v>8.397780185779535</v>
      </c>
    </row>
    <row r="558" spans="6:7" ht="12.75">
      <c r="F558">
        <v>557</v>
      </c>
      <c r="G558" s="1">
        <f t="shared" si="9"/>
        <v>8.39854744294585</v>
      </c>
    </row>
    <row r="559" spans="6:7" ht="12.75">
      <c r="F559">
        <v>558</v>
      </c>
      <c r="G559" s="1">
        <f t="shared" si="9"/>
        <v>8.399298481538013</v>
      </c>
    </row>
    <row r="560" spans="6:7" ht="12.75">
      <c r="F560">
        <v>559</v>
      </c>
      <c r="G560" s="1">
        <f t="shared" si="9"/>
        <v>8.400034175588058</v>
      </c>
    </row>
    <row r="561" spans="6:7" ht="12.75">
      <c r="F561">
        <v>560</v>
      </c>
      <c r="G561" s="1">
        <f t="shared" si="9"/>
        <v>8.400755399128016</v>
      </c>
    </row>
    <row r="562" spans="6:7" ht="12.75">
      <c r="F562">
        <v>561</v>
      </c>
      <c r="G562" s="1">
        <f t="shared" si="9"/>
        <v>8.40146302618993</v>
      </c>
    </row>
    <row r="563" spans="6:7" ht="12.75">
      <c r="F563">
        <v>562</v>
      </c>
      <c r="G563" s="1">
        <f t="shared" si="9"/>
        <v>8.402157930805833</v>
      </c>
    </row>
    <row r="564" spans="6:7" ht="12.75">
      <c r="F564">
        <v>563</v>
      </c>
      <c r="G564" s="1">
        <f t="shared" si="9"/>
        <v>8.402840987007758</v>
      </c>
    </row>
    <row r="565" spans="6:7" ht="12.75">
      <c r="F565">
        <v>564</v>
      </c>
      <c r="G565" s="1">
        <f t="shared" si="9"/>
        <v>8.40351306882774</v>
      </c>
    </row>
    <row r="566" spans="6:7" ht="12.75">
      <c r="F566">
        <v>565</v>
      </c>
      <c r="G566" s="1">
        <f t="shared" si="9"/>
        <v>8.40417505029782</v>
      </c>
    </row>
    <row r="567" spans="6:7" ht="12.75">
      <c r="F567">
        <v>566</v>
      </c>
      <c r="G567" s="1">
        <f t="shared" si="9"/>
        <v>8.404827805450028</v>
      </c>
    </row>
    <row r="568" spans="6:7" ht="12.75">
      <c r="F568">
        <v>567</v>
      </c>
      <c r="G568" s="1">
        <f t="shared" si="9"/>
        <v>8.405472685153558</v>
      </c>
    </row>
    <row r="569" spans="6:7" ht="12.75">
      <c r="F569">
        <v>568</v>
      </c>
      <c r="G569" s="1">
        <f t="shared" si="9"/>
        <v>8.406109609766132</v>
      </c>
    </row>
    <row r="570" spans="6:7" ht="12.75">
      <c r="F570">
        <v>569</v>
      </c>
      <c r="G570" s="1">
        <f t="shared" si="9"/>
        <v>8.406739930156943</v>
      </c>
    </row>
    <row r="571" spans="6:7" ht="12.75">
      <c r="F571">
        <v>570</v>
      </c>
      <c r="G571" s="1">
        <f t="shared" si="9"/>
        <v>8.407364520358026</v>
      </c>
    </row>
    <row r="572" spans="6:7" ht="12.75">
      <c r="F572">
        <v>571</v>
      </c>
      <c r="G572" s="1">
        <f t="shared" si="9"/>
        <v>8.407984254401415</v>
      </c>
    </row>
    <row r="573" spans="6:7" ht="12.75">
      <c r="F573">
        <v>572</v>
      </c>
      <c r="G573" s="1">
        <f t="shared" si="9"/>
        <v>8.408600006319146</v>
      </c>
    </row>
    <row r="574" spans="6:7" ht="12.75">
      <c r="F574">
        <v>573</v>
      </c>
      <c r="G574" s="1">
        <f t="shared" si="9"/>
        <v>8.409212650143257</v>
      </c>
    </row>
    <row r="575" spans="6:7" ht="12.75">
      <c r="F575">
        <v>574</v>
      </c>
      <c r="G575" s="1">
        <f t="shared" si="9"/>
        <v>8.409823059905781</v>
      </c>
    </row>
    <row r="576" spans="6:7" ht="12.75">
      <c r="F576">
        <v>575</v>
      </c>
      <c r="G576" s="1">
        <f t="shared" si="9"/>
        <v>8.410432109638752</v>
      </c>
    </row>
    <row r="577" spans="6:7" ht="12.75">
      <c r="F577">
        <v>576</v>
      </c>
      <c r="G577" s="1">
        <f t="shared" si="9"/>
        <v>8.41104067337421</v>
      </c>
    </row>
    <row r="578" spans="6:7" ht="12.75">
      <c r="F578">
        <v>577</v>
      </c>
      <c r="G578" s="1">
        <f t="shared" si="9"/>
        <v>8.411649625144188</v>
      </c>
    </row>
    <row r="579" spans="6:7" ht="12.75">
      <c r="F579">
        <v>578</v>
      </c>
      <c r="G579" s="1">
        <f aca="true" t="shared" si="10" ref="G579:G642">cubic_spline($A$2:$A$24,$B$2:$B$24,F579)</f>
        <v>8.41225983898072</v>
      </c>
    </row>
    <row r="580" spans="6:7" ht="12.75">
      <c r="F580">
        <v>579</v>
      </c>
      <c r="G580" s="1">
        <f t="shared" si="10"/>
        <v>8.412872188915843</v>
      </c>
    </row>
    <row r="581" spans="6:7" ht="12.75">
      <c r="F581">
        <v>580</v>
      </c>
      <c r="G581" s="1">
        <f t="shared" si="10"/>
        <v>8.413487548838651</v>
      </c>
    </row>
    <row r="582" spans="6:7" ht="12.75">
      <c r="F582">
        <v>581</v>
      </c>
      <c r="G582" s="1">
        <f t="shared" si="10"/>
        <v>8.414106793043633</v>
      </c>
    </row>
    <row r="583" spans="6:7" ht="12.75">
      <c r="F583">
        <v>582</v>
      </c>
      <c r="G583" s="1">
        <f t="shared" si="10"/>
        <v>8.414730795444054</v>
      </c>
    </row>
    <row r="584" spans="6:7" ht="12.75">
      <c r="F584">
        <v>583</v>
      </c>
      <c r="G584" s="1">
        <f t="shared" si="10"/>
        <v>8.415360668490534</v>
      </c>
    </row>
    <row r="585" spans="6:7" ht="12.75">
      <c r="F585">
        <v>584</v>
      </c>
      <c r="G585" s="1">
        <f t="shared" si="10"/>
        <v>8.415996809377944</v>
      </c>
    </row>
    <row r="586" spans="6:7" ht="12.75">
      <c r="F586">
        <v>585</v>
      </c>
      <c r="G586" s="1">
        <f t="shared" si="10"/>
        <v>8.416640330556904</v>
      </c>
    </row>
    <row r="587" spans="6:7" ht="12.75">
      <c r="F587">
        <v>586</v>
      </c>
      <c r="G587" s="1">
        <f t="shared" si="10"/>
        <v>8.417292106059444</v>
      </c>
    </row>
    <row r="588" spans="6:7" ht="12.75">
      <c r="F588">
        <v>587</v>
      </c>
      <c r="G588" s="1">
        <f t="shared" si="10"/>
        <v>8.417953009917603</v>
      </c>
    </row>
    <row r="589" spans="6:7" ht="12.75">
      <c r="F589">
        <v>588</v>
      </c>
      <c r="G589" s="1">
        <f t="shared" si="10"/>
        <v>8.418623916163416</v>
      </c>
    </row>
    <row r="590" spans="6:7" ht="12.75">
      <c r="F590">
        <v>589</v>
      </c>
      <c r="G590" s="1">
        <f t="shared" si="10"/>
        <v>8.41930569882892</v>
      </c>
    </row>
    <row r="591" spans="6:7" ht="12.75">
      <c r="F591">
        <v>590</v>
      </c>
      <c r="G591" s="1">
        <f t="shared" si="10"/>
        <v>8.419999470364727</v>
      </c>
    </row>
    <row r="592" spans="6:7" ht="12.75">
      <c r="F592">
        <v>591</v>
      </c>
      <c r="G592" s="1">
        <f t="shared" si="10"/>
        <v>8.420705627965717</v>
      </c>
    </row>
    <row r="593" spans="6:7" ht="12.75">
      <c r="F593">
        <v>592</v>
      </c>
      <c r="G593" s="1">
        <f t="shared" si="10"/>
        <v>8.4214252840825</v>
      </c>
    </row>
    <row r="594" spans="6:7" ht="12.75">
      <c r="F594">
        <v>593</v>
      </c>
      <c r="G594" s="1">
        <f t="shared" si="10"/>
        <v>8.422159312747118</v>
      </c>
    </row>
    <row r="595" spans="6:7" ht="12.75">
      <c r="F595">
        <v>594</v>
      </c>
      <c r="G595" s="1">
        <f t="shared" si="10"/>
        <v>8.422908587991598</v>
      </c>
    </row>
    <row r="596" spans="6:7" ht="12.75">
      <c r="F596">
        <v>595</v>
      </c>
      <c r="G596" s="1">
        <f t="shared" si="10"/>
        <v>8.423673983847983</v>
      </c>
    </row>
    <row r="597" spans="6:7" ht="12.75">
      <c r="F597">
        <v>596</v>
      </c>
      <c r="G597" s="1">
        <f t="shared" si="10"/>
        <v>8.424456374134017</v>
      </c>
    </row>
    <row r="598" spans="6:7" ht="12.75">
      <c r="F598">
        <v>597</v>
      </c>
      <c r="G598" s="1">
        <f t="shared" si="10"/>
        <v>8.42525663330455</v>
      </c>
    </row>
    <row r="599" spans="6:7" ht="12.75">
      <c r="F599">
        <v>598</v>
      </c>
      <c r="G599" s="1">
        <f t="shared" si="10"/>
        <v>8.42607575439275</v>
      </c>
    </row>
    <row r="600" spans="6:7" ht="12.75">
      <c r="F600">
        <v>599</v>
      </c>
      <c r="G600" s="1">
        <f t="shared" si="10"/>
        <v>8.426914373012078</v>
      </c>
    </row>
    <row r="601" spans="6:7" ht="12.75">
      <c r="F601">
        <v>600</v>
      </c>
      <c r="G601" s="1">
        <f t="shared" si="10"/>
        <v>8.427773482403857</v>
      </c>
    </row>
    <row r="602" spans="6:7" ht="12.75">
      <c r="F602">
        <v>601</v>
      </c>
      <c r="G602" s="1">
        <f t="shared" si="10"/>
        <v>8.428654075809412</v>
      </c>
    </row>
    <row r="603" spans="6:7" ht="12.75">
      <c r="F603">
        <v>602</v>
      </c>
      <c r="G603" s="1">
        <f t="shared" si="10"/>
        <v>8.429556788842199</v>
      </c>
    </row>
    <row r="604" spans="6:7" ht="12.75">
      <c r="F604">
        <v>603</v>
      </c>
      <c r="G604" s="1">
        <f t="shared" si="10"/>
        <v>8.430482614743545</v>
      </c>
    </row>
    <row r="605" spans="6:7" ht="12.75">
      <c r="F605">
        <v>604</v>
      </c>
      <c r="G605" s="1">
        <f t="shared" si="10"/>
        <v>8.43143242742049</v>
      </c>
    </row>
    <row r="606" spans="6:7" ht="12.75">
      <c r="F606">
        <v>605</v>
      </c>
      <c r="G606" s="1">
        <f t="shared" si="10"/>
        <v>8.432407160758308</v>
      </c>
    </row>
    <row r="607" spans="6:7" ht="12.75">
      <c r="F607">
        <v>606</v>
      </c>
      <c r="G607" s="1">
        <f t="shared" si="10"/>
        <v>8.433407569456332</v>
      </c>
    </row>
    <row r="608" spans="6:7" ht="12.75">
      <c r="F608">
        <v>607</v>
      </c>
      <c r="G608" s="1">
        <f t="shared" si="10"/>
        <v>8.434434646755886</v>
      </c>
    </row>
    <row r="609" spans="6:7" ht="12.75">
      <c r="F609">
        <v>608</v>
      </c>
      <c r="G609" s="1">
        <f t="shared" si="10"/>
        <v>8.435489147414986</v>
      </c>
    </row>
    <row r="610" spans="6:7" ht="12.75">
      <c r="F610">
        <v>609</v>
      </c>
      <c r="G610" s="1">
        <f t="shared" si="10"/>
        <v>8.43657203500177</v>
      </c>
    </row>
    <row r="611" spans="6:7" ht="12.75">
      <c r="F611">
        <v>610</v>
      </c>
      <c r="G611" s="1">
        <f t="shared" si="10"/>
        <v>8.437684153648997</v>
      </c>
    </row>
    <row r="612" spans="6:7" ht="12.75">
      <c r="F612">
        <v>611</v>
      </c>
      <c r="G612" s="1">
        <f t="shared" si="10"/>
        <v>8.43882637743756</v>
      </c>
    </row>
    <row r="613" spans="6:7" ht="12.75">
      <c r="F613">
        <v>612</v>
      </c>
      <c r="G613" s="1">
        <f t="shared" si="10"/>
        <v>8.4399995803833</v>
      </c>
    </row>
    <row r="614" spans="6:7" ht="12.75">
      <c r="F614">
        <v>613</v>
      </c>
      <c r="G614" s="1">
        <f t="shared" si="10"/>
        <v>8.441204232023434</v>
      </c>
    </row>
    <row r="615" spans="6:7" ht="12.75">
      <c r="F615">
        <v>614</v>
      </c>
      <c r="G615" s="1">
        <f t="shared" si="10"/>
        <v>8.442439822183633</v>
      </c>
    </row>
    <row r="616" spans="6:7" ht="12.75">
      <c r="F616">
        <v>615</v>
      </c>
      <c r="G616" s="1">
        <f t="shared" si="10"/>
        <v>8.44370543619848</v>
      </c>
    </row>
    <row r="617" spans="6:7" ht="12.75">
      <c r="F617">
        <v>616</v>
      </c>
      <c r="G617" s="1">
        <f t="shared" si="10"/>
        <v>8.445000636239708</v>
      </c>
    </row>
    <row r="618" spans="6:7" ht="12.75">
      <c r="F618">
        <v>617</v>
      </c>
      <c r="G618" s="1">
        <f t="shared" si="10"/>
        <v>8.446323553967582</v>
      </c>
    </row>
    <row r="619" spans="6:7" ht="12.75">
      <c r="F619">
        <v>618</v>
      </c>
      <c r="G619" s="1">
        <f t="shared" si="10"/>
        <v>8.447673751553841</v>
      </c>
    </row>
    <row r="620" spans="6:7" ht="12.75">
      <c r="F620">
        <v>619</v>
      </c>
      <c r="G620" s="1">
        <f t="shared" si="10"/>
        <v>8.44905079117022</v>
      </c>
    </row>
    <row r="621" spans="6:7" ht="12.75">
      <c r="F621">
        <v>620</v>
      </c>
      <c r="G621" s="1">
        <f t="shared" si="10"/>
        <v>8.450452804476981</v>
      </c>
    </row>
    <row r="622" spans="6:7" ht="12.75">
      <c r="F622">
        <v>621</v>
      </c>
      <c r="G622" s="1">
        <f t="shared" si="10"/>
        <v>8.451879353645865</v>
      </c>
    </row>
    <row r="623" spans="6:7" ht="12.75">
      <c r="F623">
        <v>622</v>
      </c>
      <c r="G623" s="1">
        <f t="shared" si="10"/>
        <v>8.453329524011448</v>
      </c>
    </row>
    <row r="624" spans="6:7" ht="12.75">
      <c r="F624">
        <v>623</v>
      </c>
      <c r="G624" s="1">
        <f t="shared" si="10"/>
        <v>8.454802877745468</v>
      </c>
    </row>
    <row r="625" spans="6:7" ht="12.75">
      <c r="F625">
        <v>624</v>
      </c>
      <c r="G625" s="1">
        <f t="shared" si="10"/>
        <v>8.45629754650819</v>
      </c>
    </row>
    <row r="626" spans="6:7" ht="12.75">
      <c r="F626">
        <v>625</v>
      </c>
      <c r="G626" s="1">
        <f t="shared" si="10"/>
        <v>8.45781309247135</v>
      </c>
    </row>
    <row r="627" spans="6:7" ht="12.75">
      <c r="F627">
        <v>626</v>
      </c>
      <c r="G627" s="1">
        <f t="shared" si="10"/>
        <v>8.459348600969527</v>
      </c>
    </row>
    <row r="628" spans="6:7" ht="12.75">
      <c r="F628">
        <v>627</v>
      </c>
      <c r="G628" s="1">
        <f t="shared" si="10"/>
        <v>8.460903634174459</v>
      </c>
    </row>
    <row r="629" spans="6:7" ht="12.75">
      <c r="F629">
        <v>628</v>
      </c>
      <c r="G629" s="1">
        <f t="shared" si="10"/>
        <v>8.462476323746404</v>
      </c>
    </row>
    <row r="630" spans="6:7" ht="12.75">
      <c r="F630">
        <v>629</v>
      </c>
      <c r="G630" s="1">
        <f t="shared" si="10"/>
        <v>8.464066231857108</v>
      </c>
    </row>
    <row r="631" spans="6:7" ht="12.75">
      <c r="F631">
        <v>630</v>
      </c>
      <c r="G631" s="1">
        <f t="shared" si="10"/>
        <v>8.465672443841147</v>
      </c>
    </row>
    <row r="632" spans="6:7" ht="12.75">
      <c r="F632">
        <v>631</v>
      </c>
      <c r="G632" s="1">
        <f t="shared" si="10"/>
        <v>8.467294521870254</v>
      </c>
    </row>
    <row r="633" spans="6:7" ht="12.75">
      <c r="F633">
        <v>632</v>
      </c>
      <c r="G633" s="1">
        <f t="shared" si="10"/>
        <v>8.468930597604697</v>
      </c>
    </row>
    <row r="634" spans="6:7" ht="12.75">
      <c r="F634">
        <v>633</v>
      </c>
      <c r="G634" s="1">
        <f t="shared" si="10"/>
        <v>8.47058023321621</v>
      </c>
    </row>
    <row r="635" spans="6:7" ht="12.75">
      <c r="F635">
        <v>634</v>
      </c>
      <c r="G635" s="1">
        <f t="shared" si="10"/>
        <v>8.472242514039376</v>
      </c>
    </row>
    <row r="636" spans="6:7" ht="12.75">
      <c r="F636">
        <v>635</v>
      </c>
      <c r="G636" s="1">
        <f t="shared" si="10"/>
        <v>8.473916525408773</v>
      </c>
    </row>
    <row r="637" spans="6:7" ht="12.75">
      <c r="F637">
        <v>636</v>
      </c>
      <c r="G637" s="1">
        <f t="shared" si="10"/>
        <v>8.475601829496135</v>
      </c>
    </row>
    <row r="638" spans="6:7" ht="12.75">
      <c r="F638">
        <v>637</v>
      </c>
      <c r="G638" s="1">
        <f t="shared" si="10"/>
        <v>8.477296557961727</v>
      </c>
    </row>
    <row r="639" spans="6:7" ht="12.75">
      <c r="F639">
        <v>638</v>
      </c>
      <c r="G639" s="1">
        <f t="shared" si="10"/>
        <v>8.47900027297729</v>
      </c>
    </row>
    <row r="640" spans="6:7" ht="12.75">
      <c r="F640">
        <v>639</v>
      </c>
      <c r="G640" s="1">
        <f t="shared" si="10"/>
        <v>8.480712059877396</v>
      </c>
    </row>
    <row r="641" spans="6:7" ht="12.75">
      <c r="F641">
        <v>640</v>
      </c>
      <c r="G641" s="1">
        <f t="shared" si="10"/>
        <v>8.482431480833789</v>
      </c>
    </row>
    <row r="642" spans="6:7" ht="12.75">
      <c r="F642">
        <v>641</v>
      </c>
      <c r="G642" s="1">
        <f t="shared" si="10"/>
        <v>8.48415666750673</v>
      </c>
    </row>
    <row r="643" spans="6:7" ht="12.75">
      <c r="F643">
        <v>642</v>
      </c>
      <c r="G643" s="1">
        <f aca="true" t="shared" si="11" ref="G643:G706">cubic_spline($A$2:$A$24,$B$2:$B$24,F643)</f>
        <v>8.485887182067954</v>
      </c>
    </row>
    <row r="644" spans="6:7" ht="12.75">
      <c r="F644">
        <v>643</v>
      </c>
      <c r="G644" s="1">
        <f t="shared" si="11"/>
        <v>8.48762210985204</v>
      </c>
    </row>
    <row r="645" spans="6:7" ht="12.75">
      <c r="F645">
        <v>644</v>
      </c>
      <c r="G645" s="1">
        <f t="shared" si="11"/>
        <v>8.489360536365393</v>
      </c>
    </row>
    <row r="646" spans="6:7" ht="12.75">
      <c r="F646">
        <v>645</v>
      </c>
      <c r="G646" s="1">
        <f t="shared" si="11"/>
        <v>8.4911015466279</v>
      </c>
    </row>
    <row r="647" spans="6:7" ht="12.75">
      <c r="F647">
        <v>646</v>
      </c>
      <c r="G647" s="1">
        <f t="shared" si="11"/>
        <v>8.492844464534638</v>
      </c>
    </row>
    <row r="648" spans="6:7" ht="12.75">
      <c r="F648">
        <v>647</v>
      </c>
      <c r="G648" s="1">
        <f t="shared" si="11"/>
        <v>8.494588137001609</v>
      </c>
    </row>
    <row r="649" spans="6:7" ht="12.75">
      <c r="F649">
        <v>648</v>
      </c>
      <c r="G649" s="1">
        <f t="shared" si="11"/>
        <v>8.49633141094481</v>
      </c>
    </row>
    <row r="650" spans="6:7" ht="12.75">
      <c r="F650">
        <v>649</v>
      </c>
      <c r="G650" s="1">
        <f t="shared" si="11"/>
        <v>8.498073848535979</v>
      </c>
    </row>
    <row r="651" spans="6:7" ht="12.75">
      <c r="F651">
        <v>650</v>
      </c>
      <c r="G651" s="1">
        <f t="shared" si="11"/>
        <v>8.499814058272538</v>
      </c>
    </row>
    <row r="652" spans="6:7" ht="12.75">
      <c r="F652">
        <v>651</v>
      </c>
      <c r="G652" s="1">
        <f t="shared" si="11"/>
        <v>8.501551602326225</v>
      </c>
    </row>
    <row r="653" spans="6:7" ht="12.75">
      <c r="F653">
        <v>652</v>
      </c>
      <c r="G653" s="1">
        <f t="shared" si="11"/>
        <v>8.503285089194462</v>
      </c>
    </row>
    <row r="654" spans="6:7" ht="12.75">
      <c r="F654">
        <v>653</v>
      </c>
      <c r="G654" s="1">
        <f t="shared" si="11"/>
        <v>8.505014081048984</v>
      </c>
    </row>
    <row r="655" spans="6:7" ht="12.75">
      <c r="F655">
        <v>654</v>
      </c>
      <c r="G655" s="1">
        <f t="shared" si="11"/>
        <v>8.50673718638721</v>
      </c>
    </row>
    <row r="656" spans="6:7" ht="12.75">
      <c r="F656">
        <v>655</v>
      </c>
      <c r="G656" s="1">
        <f t="shared" si="11"/>
        <v>8.508453728962305</v>
      </c>
    </row>
    <row r="657" spans="6:7" ht="12.75">
      <c r="F657">
        <v>656</v>
      </c>
      <c r="G657" s="1">
        <f t="shared" si="11"/>
        <v>8.510163032527421</v>
      </c>
    </row>
    <row r="658" spans="6:7" ht="12.75">
      <c r="F658">
        <v>657</v>
      </c>
      <c r="G658" s="1">
        <f t="shared" si="11"/>
        <v>8.511863705579982</v>
      </c>
    </row>
    <row r="659" spans="6:7" ht="12.75">
      <c r="F659">
        <v>658</v>
      </c>
      <c r="G659" s="1">
        <f t="shared" si="11"/>
        <v>8.513555310291727</v>
      </c>
    </row>
    <row r="660" spans="6:7" ht="12.75">
      <c r="F660">
        <v>659</v>
      </c>
      <c r="G660" s="1">
        <f t="shared" si="11"/>
        <v>8.515236455160073</v>
      </c>
    </row>
    <row r="661" spans="6:7" ht="12.75">
      <c r="F661">
        <v>660</v>
      </c>
      <c r="G661" s="1">
        <f t="shared" si="11"/>
        <v>8.516906464198762</v>
      </c>
    </row>
    <row r="662" spans="6:7" ht="12.75">
      <c r="F662">
        <v>661</v>
      </c>
      <c r="G662" s="1">
        <f t="shared" si="11"/>
        <v>8.518564660646673</v>
      </c>
    </row>
    <row r="663" spans="6:7" ht="12.75">
      <c r="F663">
        <v>662</v>
      </c>
      <c r="G663" s="1">
        <f t="shared" si="11"/>
        <v>8.520209772463737</v>
      </c>
    </row>
    <row r="664" spans="6:7" ht="12.75">
      <c r="F664">
        <v>663</v>
      </c>
      <c r="G664" s="1">
        <f t="shared" si="11"/>
        <v>8.521841004193826</v>
      </c>
    </row>
    <row r="665" spans="6:7" ht="12.75">
      <c r="F665">
        <v>664</v>
      </c>
      <c r="G665" s="1">
        <f t="shared" si="11"/>
        <v>8.52345744117152</v>
      </c>
    </row>
    <row r="666" spans="6:7" ht="12.75">
      <c r="F666">
        <v>665</v>
      </c>
      <c r="G666" s="1">
        <f t="shared" si="11"/>
        <v>8.525058049522107</v>
      </c>
    </row>
    <row r="667" spans="6:7" ht="12.75">
      <c r="F667">
        <v>666</v>
      </c>
      <c r="G667" s="1">
        <f t="shared" si="11"/>
        <v>8.526642152998742</v>
      </c>
    </row>
    <row r="668" spans="6:7" ht="12.75">
      <c r="F668">
        <v>667</v>
      </c>
      <c r="G668" s="1">
        <f t="shared" si="11"/>
        <v>8.528208717726722</v>
      </c>
    </row>
    <row r="669" spans="6:7" ht="12.75">
      <c r="F669">
        <v>668</v>
      </c>
      <c r="G669" s="1">
        <f t="shared" si="11"/>
        <v>8.529756829191795</v>
      </c>
    </row>
    <row r="670" spans="6:7" ht="12.75">
      <c r="F670">
        <v>669</v>
      </c>
      <c r="G670" s="1">
        <f t="shared" si="11"/>
        <v>8.531285572427736</v>
      </c>
    </row>
    <row r="671" spans="6:7" ht="12.75">
      <c r="F671">
        <v>670</v>
      </c>
      <c r="G671" s="1">
        <f t="shared" si="11"/>
        <v>8.532793973313876</v>
      </c>
    </row>
    <row r="672" spans="6:7" ht="12.75">
      <c r="F672">
        <v>671</v>
      </c>
      <c r="G672" s="1">
        <f t="shared" si="11"/>
        <v>8.53428123639408</v>
      </c>
    </row>
    <row r="673" spans="6:7" ht="12.75">
      <c r="F673">
        <v>672</v>
      </c>
      <c r="G673" s="1">
        <f t="shared" si="11"/>
        <v>8.535746387476243</v>
      </c>
    </row>
    <row r="674" spans="6:7" ht="12.75">
      <c r="F674">
        <v>673</v>
      </c>
      <c r="G674" s="1">
        <f t="shared" si="11"/>
        <v>8.537188481937</v>
      </c>
    </row>
    <row r="675" spans="6:7" ht="12.75">
      <c r="F675">
        <v>674</v>
      </c>
      <c r="G675" s="1">
        <f t="shared" si="11"/>
        <v>8.538606649931173</v>
      </c>
    </row>
    <row r="676" spans="6:7" ht="12.75">
      <c r="F676">
        <v>675</v>
      </c>
      <c r="G676" s="1">
        <f t="shared" si="11"/>
        <v>8.539999961853027</v>
      </c>
    </row>
    <row r="677" spans="6:7" ht="12.75">
      <c r="F677">
        <v>676</v>
      </c>
      <c r="G677" s="1">
        <f t="shared" si="11"/>
        <v>8.541368370772233</v>
      </c>
    </row>
    <row r="678" spans="6:7" ht="12.75">
      <c r="F678">
        <v>677</v>
      </c>
      <c r="G678" s="1">
        <f t="shared" si="11"/>
        <v>8.542710684375812</v>
      </c>
    </row>
    <row r="679" spans="6:7" ht="12.75">
      <c r="F679">
        <v>678</v>
      </c>
      <c r="G679" s="1">
        <f t="shared" si="11"/>
        <v>8.544028480120707</v>
      </c>
    </row>
    <row r="680" spans="6:7" ht="12.75">
      <c r="F680">
        <v>679</v>
      </c>
      <c r="G680" s="1">
        <f t="shared" si="11"/>
        <v>8.545322863970641</v>
      </c>
    </row>
    <row r="681" spans="6:7" ht="12.75">
      <c r="F681">
        <v>680</v>
      </c>
      <c r="G681" s="1">
        <f t="shared" si="11"/>
        <v>8.546593511021497</v>
      </c>
    </row>
    <row r="682" spans="6:7" ht="12.75">
      <c r="F682">
        <v>681</v>
      </c>
      <c r="G682" s="1">
        <f t="shared" si="11"/>
        <v>8.547841999264763</v>
      </c>
    </row>
    <row r="683" spans="6:7" ht="12.75">
      <c r="F683">
        <v>682</v>
      </c>
      <c r="G683" s="1">
        <f t="shared" si="11"/>
        <v>8.549068480720269</v>
      </c>
    </row>
    <row r="684" spans="6:7" ht="12.75">
      <c r="F684">
        <v>683</v>
      </c>
      <c r="G684" s="1">
        <f t="shared" si="11"/>
        <v>8.55027310706991</v>
      </c>
    </row>
    <row r="685" spans="6:7" ht="12.75">
      <c r="F685">
        <v>684</v>
      </c>
      <c r="G685" s="1">
        <f t="shared" si="11"/>
        <v>8.551457456812074</v>
      </c>
    </row>
    <row r="686" spans="6:7" ht="12.75">
      <c r="F686">
        <v>685</v>
      </c>
      <c r="G686" s="1">
        <f t="shared" si="11"/>
        <v>8.552622158547994</v>
      </c>
    </row>
    <row r="687" spans="6:7" ht="12.75">
      <c r="F687">
        <v>686</v>
      </c>
      <c r="G687" s="1">
        <f t="shared" si="11"/>
        <v>8.553766410047928</v>
      </c>
    </row>
    <row r="688" spans="6:7" ht="12.75">
      <c r="F688">
        <v>687</v>
      </c>
      <c r="G688" s="1">
        <f t="shared" si="11"/>
        <v>8.554892267126673</v>
      </c>
    </row>
    <row r="689" spans="6:7" ht="12.75">
      <c r="F689">
        <v>688</v>
      </c>
      <c r="G689" s="1">
        <f t="shared" si="11"/>
        <v>8.555999881306375</v>
      </c>
    </row>
    <row r="690" spans="6:7" ht="12.75">
      <c r="F690">
        <v>689</v>
      </c>
      <c r="G690" s="1">
        <f t="shared" si="11"/>
        <v>8.557089403808112</v>
      </c>
    </row>
    <row r="691" spans="6:7" ht="12.75">
      <c r="F691">
        <v>690</v>
      </c>
      <c r="G691" s="1">
        <f t="shared" si="11"/>
        <v>8.558162414061123</v>
      </c>
    </row>
    <row r="692" spans="6:7" ht="12.75">
      <c r="F692">
        <v>691</v>
      </c>
      <c r="G692" s="1">
        <f t="shared" si="11"/>
        <v>8.55921906335945</v>
      </c>
    </row>
    <row r="693" spans="6:7" ht="12.75">
      <c r="F693">
        <v>692</v>
      </c>
      <c r="G693" s="1">
        <f t="shared" si="11"/>
        <v>8.560259502714496</v>
      </c>
    </row>
    <row r="694" spans="6:7" ht="12.75">
      <c r="F694">
        <v>693</v>
      </c>
      <c r="G694" s="1">
        <f t="shared" si="11"/>
        <v>8.561285311979459</v>
      </c>
    </row>
    <row r="695" spans="6:7" ht="12.75">
      <c r="F695">
        <v>694</v>
      </c>
      <c r="G695" s="1">
        <f t="shared" si="11"/>
        <v>8.562296642234093</v>
      </c>
    </row>
    <row r="696" spans="6:7" ht="12.75">
      <c r="F696">
        <v>695</v>
      </c>
      <c r="G696" s="1">
        <f t="shared" si="11"/>
        <v>8.563293644293964</v>
      </c>
    </row>
    <row r="697" spans="6:7" ht="12.75">
      <c r="F697">
        <v>696</v>
      </c>
      <c r="G697" s="1">
        <f t="shared" si="11"/>
        <v>8.564277898408557</v>
      </c>
    </row>
    <row r="698" spans="6:7" ht="12.75">
      <c r="F698">
        <v>697</v>
      </c>
      <c r="G698" s="1">
        <f t="shared" si="11"/>
        <v>8.565249555457187</v>
      </c>
    </row>
    <row r="699" spans="6:7" ht="12.75">
      <c r="F699">
        <v>698</v>
      </c>
      <c r="G699" s="1">
        <f t="shared" si="11"/>
        <v>8.566208766073384</v>
      </c>
    </row>
    <row r="700" spans="6:7" ht="12.75">
      <c r="F700">
        <v>699</v>
      </c>
      <c r="G700" s="1">
        <f t="shared" si="11"/>
        <v>8.5671571108753</v>
      </c>
    </row>
    <row r="701" spans="6:7" ht="12.75">
      <c r="F701">
        <v>700</v>
      </c>
      <c r="G701" s="1">
        <f t="shared" si="11"/>
        <v>8.568094740555605</v>
      </c>
    </row>
    <row r="702" spans="6:7" ht="12.75">
      <c r="F702">
        <v>701</v>
      </c>
      <c r="G702" s="1">
        <f t="shared" si="11"/>
        <v>8.569021805579641</v>
      </c>
    </row>
    <row r="703" spans="6:7" ht="12.75">
      <c r="F703">
        <v>702</v>
      </c>
      <c r="G703" s="1">
        <f t="shared" si="11"/>
        <v>8.569939886906557</v>
      </c>
    </row>
    <row r="704" spans="6:7" ht="12.75">
      <c r="F704">
        <v>703</v>
      </c>
      <c r="G704" s="1">
        <f t="shared" si="11"/>
        <v>8.570849135056227</v>
      </c>
    </row>
    <row r="705" spans="6:7" ht="12.75">
      <c r="F705">
        <v>704</v>
      </c>
      <c r="G705" s="1">
        <f t="shared" si="11"/>
        <v>8.571749700339609</v>
      </c>
    </row>
    <row r="706" spans="6:7" ht="12.75">
      <c r="F706">
        <v>705</v>
      </c>
      <c r="G706" s="1">
        <f t="shared" si="11"/>
        <v>8.572643164029214</v>
      </c>
    </row>
    <row r="707" spans="6:7" ht="12.75">
      <c r="F707">
        <v>706</v>
      </c>
      <c r="G707" s="1">
        <f aca="true" t="shared" si="12" ref="G707:G770">cubic_spline($A$2:$A$24,$B$2:$B$24,F707)</f>
        <v>8.573530153323084</v>
      </c>
    </row>
    <row r="708" spans="6:7" ht="12.75">
      <c r="F708">
        <v>707</v>
      </c>
      <c r="G708" s="1">
        <f t="shared" si="12"/>
        <v>8.574409864870676</v>
      </c>
    </row>
    <row r="709" spans="6:7" ht="12.75">
      <c r="F709">
        <v>708</v>
      </c>
      <c r="G709" s="1">
        <f t="shared" si="12"/>
        <v>8.575284118188721</v>
      </c>
    </row>
    <row r="710" spans="6:7" ht="12.75">
      <c r="F710">
        <v>709</v>
      </c>
      <c r="G710" s="1">
        <f t="shared" si="12"/>
        <v>8.576153540790164</v>
      </c>
    </row>
    <row r="711" spans="6:7" ht="12.75">
      <c r="F711">
        <v>710</v>
      </c>
      <c r="G711" s="1">
        <f t="shared" si="12"/>
        <v>8.57701828278206</v>
      </c>
    </row>
    <row r="712" spans="6:7" ht="12.75">
      <c r="F712">
        <v>711</v>
      </c>
      <c r="G712" s="1">
        <f t="shared" si="12"/>
        <v>8.577879448493382</v>
      </c>
    </row>
    <row r="713" spans="6:7" ht="12.75">
      <c r="F713">
        <v>712</v>
      </c>
      <c r="G713" s="1">
        <f t="shared" si="12"/>
        <v>8.57873742707724</v>
      </c>
    </row>
    <row r="714" spans="6:7" ht="12.75">
      <c r="F714">
        <v>713</v>
      </c>
      <c r="G714" s="1">
        <f t="shared" si="12"/>
        <v>8.579592606939459</v>
      </c>
    </row>
    <row r="715" spans="6:7" ht="12.75">
      <c r="F715">
        <v>714</v>
      </c>
      <c r="G715" s="1">
        <f t="shared" si="12"/>
        <v>8.58044585405149</v>
      </c>
    </row>
    <row r="716" spans="6:7" ht="12.75">
      <c r="F716">
        <v>715</v>
      </c>
      <c r="G716" s="1">
        <f t="shared" si="12"/>
        <v>8.581298034455447</v>
      </c>
    </row>
    <row r="717" spans="6:7" ht="12.75">
      <c r="F717">
        <v>716</v>
      </c>
      <c r="G717" s="1">
        <f t="shared" si="12"/>
        <v>8.582149298032585</v>
      </c>
    </row>
    <row r="718" spans="6:7" ht="12.75">
      <c r="F718">
        <v>717</v>
      </c>
      <c r="G718" s="1">
        <f t="shared" si="12"/>
        <v>8.583000510808503</v>
      </c>
    </row>
    <row r="719" spans="6:7" ht="12.75">
      <c r="F719">
        <v>718</v>
      </c>
      <c r="G719" s="1">
        <f t="shared" si="12"/>
        <v>8.583852538870245</v>
      </c>
    </row>
    <row r="720" spans="6:7" ht="12.75">
      <c r="F720">
        <v>719</v>
      </c>
      <c r="G720" s="1">
        <f t="shared" si="12"/>
        <v>8.584705532006902</v>
      </c>
    </row>
    <row r="721" spans="6:7" ht="12.75">
      <c r="F721">
        <v>720</v>
      </c>
      <c r="G721" s="1">
        <f t="shared" si="12"/>
        <v>8.585560356291301</v>
      </c>
    </row>
    <row r="722" spans="6:7" ht="12.75">
      <c r="F722">
        <v>721</v>
      </c>
      <c r="G722" s="1">
        <f t="shared" si="12"/>
        <v>8.58641811626709</v>
      </c>
    </row>
    <row r="723" spans="6:7" ht="12.75">
      <c r="F723">
        <v>722</v>
      </c>
      <c r="G723" s="1">
        <f t="shared" si="12"/>
        <v>8.587278365598568</v>
      </c>
    </row>
    <row r="724" spans="6:7" ht="12.75">
      <c r="F724">
        <v>723</v>
      </c>
      <c r="G724" s="1">
        <f t="shared" si="12"/>
        <v>8.588142566651044</v>
      </c>
    </row>
    <row r="725" spans="6:7" ht="12.75">
      <c r="F725">
        <v>724</v>
      </c>
      <c r="G725" s="1">
        <f t="shared" si="12"/>
        <v>8.589011227335702</v>
      </c>
    </row>
    <row r="726" spans="6:7" ht="12.75">
      <c r="F726">
        <v>725</v>
      </c>
      <c r="G726" s="1">
        <f t="shared" si="12"/>
        <v>8.58988461712518</v>
      </c>
    </row>
    <row r="727" spans="6:7" ht="12.75">
      <c r="F727">
        <v>726</v>
      </c>
      <c r="G727" s="1">
        <f t="shared" si="12"/>
        <v>8.59076372138858</v>
      </c>
    </row>
    <row r="728" spans="6:7" ht="12.75">
      <c r="F728">
        <v>727</v>
      </c>
      <c r="G728" s="1">
        <f t="shared" si="12"/>
        <v>8.591649048021536</v>
      </c>
    </row>
    <row r="729" spans="6:7" ht="12.75">
      <c r="F729">
        <v>728</v>
      </c>
      <c r="G729" s="1">
        <f t="shared" si="12"/>
        <v>8.592541104904319</v>
      </c>
    </row>
    <row r="730" spans="6:7" ht="12.75">
      <c r="F730">
        <v>729</v>
      </c>
      <c r="G730" s="1">
        <f t="shared" si="12"/>
        <v>8.59344081782443</v>
      </c>
    </row>
    <row r="731" spans="6:7" ht="12.75">
      <c r="F731">
        <v>730</v>
      </c>
      <c r="G731" s="1">
        <f t="shared" si="12"/>
        <v>8.594348635060758</v>
      </c>
    </row>
    <row r="732" spans="6:7" ht="12.75">
      <c r="F732">
        <v>731</v>
      </c>
      <c r="G732" s="1">
        <f t="shared" si="12"/>
        <v>8.595265064602767</v>
      </c>
    </row>
    <row r="733" spans="6:7" ht="12.75">
      <c r="F733">
        <v>732</v>
      </c>
      <c r="G733" s="1">
        <f t="shared" si="12"/>
        <v>8.596190853090118</v>
      </c>
    </row>
    <row r="734" spans="6:7" ht="12.75">
      <c r="F734">
        <v>733</v>
      </c>
      <c r="G734" s="1">
        <f t="shared" si="12"/>
        <v>8.597126747166316</v>
      </c>
    </row>
    <row r="735" spans="6:7" ht="12.75">
      <c r="F735">
        <v>734</v>
      </c>
      <c r="G735" s="1">
        <f t="shared" si="12"/>
        <v>8.598073135492838</v>
      </c>
    </row>
    <row r="736" spans="6:7" ht="12.75">
      <c r="F736">
        <v>735</v>
      </c>
      <c r="G736" s="1">
        <f t="shared" si="12"/>
        <v>8.599030824376655</v>
      </c>
    </row>
    <row r="737" spans="6:7" ht="12.75">
      <c r="F737">
        <v>736</v>
      </c>
      <c r="G737" s="1">
        <f t="shared" si="12"/>
        <v>8.600000381469727</v>
      </c>
    </row>
    <row r="738" spans="6:7" ht="12.75">
      <c r="F738">
        <v>737</v>
      </c>
      <c r="G738" s="1">
        <f t="shared" si="12"/>
        <v>8.60098216537259</v>
      </c>
    </row>
    <row r="739" spans="6:7" ht="12.75">
      <c r="F739">
        <v>738</v>
      </c>
      <c r="G739" s="1">
        <f t="shared" si="12"/>
        <v>8.601975814529668</v>
      </c>
    </row>
    <row r="740" spans="6:7" ht="12.75">
      <c r="F740">
        <v>739</v>
      </c>
      <c r="G740" s="1">
        <f t="shared" si="12"/>
        <v>8.602980698671686</v>
      </c>
    </row>
    <row r="741" spans="6:7" ht="12.75">
      <c r="F741">
        <v>740</v>
      </c>
      <c r="G741" s="1">
        <f t="shared" si="12"/>
        <v>8.60399618752938</v>
      </c>
    </row>
    <row r="742" spans="6:7" ht="12.75">
      <c r="F742">
        <v>741</v>
      </c>
      <c r="G742" s="1">
        <f t="shared" si="12"/>
        <v>8.605022127670638</v>
      </c>
    </row>
    <row r="743" spans="6:7" ht="12.75">
      <c r="F743">
        <v>742</v>
      </c>
      <c r="G743" s="1">
        <f t="shared" si="12"/>
        <v>8.606056935151877</v>
      </c>
    </row>
    <row r="744" spans="6:7" ht="12.75">
      <c r="F744">
        <v>743</v>
      </c>
      <c r="G744" s="1">
        <f t="shared" si="12"/>
        <v>8.607100456540982</v>
      </c>
    </row>
    <row r="745" spans="6:7" ht="12.75">
      <c r="F745">
        <v>744</v>
      </c>
      <c r="G745" s="1">
        <f t="shared" si="12"/>
        <v>8.608152061568685</v>
      </c>
    </row>
    <row r="746" spans="6:7" ht="12.75">
      <c r="F746">
        <v>745</v>
      </c>
      <c r="G746" s="1">
        <f t="shared" si="12"/>
        <v>8.609211119965723</v>
      </c>
    </row>
    <row r="747" spans="6:7" ht="12.75">
      <c r="F747">
        <v>746</v>
      </c>
      <c r="G747" s="1">
        <f t="shared" si="12"/>
        <v>8.610277001462821</v>
      </c>
    </row>
    <row r="748" spans="6:7" ht="12.75">
      <c r="F748">
        <v>747</v>
      </c>
      <c r="G748" s="1">
        <f t="shared" si="12"/>
        <v>8.611349075790713</v>
      </c>
    </row>
    <row r="749" spans="6:7" ht="12.75">
      <c r="F749">
        <v>748</v>
      </c>
      <c r="G749" s="1">
        <f t="shared" si="12"/>
        <v>8.612426712680131</v>
      </c>
    </row>
    <row r="750" spans="6:7" ht="12.75">
      <c r="F750">
        <v>749</v>
      </c>
      <c r="G750" s="1">
        <f t="shared" si="12"/>
        <v>8.613509281861804</v>
      </c>
    </row>
    <row r="751" spans="6:7" ht="12.75">
      <c r="F751">
        <v>750</v>
      </c>
      <c r="G751" s="1">
        <f t="shared" si="12"/>
        <v>8.614596629903621</v>
      </c>
    </row>
    <row r="752" spans="6:7" ht="12.75">
      <c r="F752">
        <v>751</v>
      </c>
      <c r="G752" s="1">
        <f t="shared" si="12"/>
        <v>8.615687172862001</v>
      </c>
    </row>
    <row r="753" spans="6:7" ht="12.75">
      <c r="F753">
        <v>752</v>
      </c>
      <c r="G753" s="1">
        <f t="shared" si="12"/>
        <v>8.616780757304833</v>
      </c>
    </row>
    <row r="754" spans="6:7" ht="12.75">
      <c r="F754">
        <v>753</v>
      </c>
      <c r="G754" s="1">
        <f t="shared" si="12"/>
        <v>8.617876752962843</v>
      </c>
    </row>
    <row r="755" spans="6:7" ht="12.75">
      <c r="F755">
        <v>754</v>
      </c>
      <c r="G755" s="1">
        <f t="shared" si="12"/>
        <v>8.618974529566765</v>
      </c>
    </row>
    <row r="756" spans="6:7" ht="12.75">
      <c r="F756">
        <v>755</v>
      </c>
      <c r="G756" s="1">
        <f t="shared" si="12"/>
        <v>8.620073456847333</v>
      </c>
    </row>
    <row r="757" spans="6:7" ht="12.75">
      <c r="F757">
        <v>756</v>
      </c>
      <c r="G757" s="1">
        <f t="shared" si="12"/>
        <v>8.621172904535277</v>
      </c>
    </row>
    <row r="758" spans="6:7" ht="12.75">
      <c r="F758">
        <v>757</v>
      </c>
      <c r="G758" s="1">
        <f t="shared" si="12"/>
        <v>8.622272242361325</v>
      </c>
    </row>
    <row r="759" spans="6:7" ht="12.75">
      <c r="F759">
        <v>758</v>
      </c>
      <c r="G759" s="1">
        <f t="shared" si="12"/>
        <v>8.623370840056213</v>
      </c>
    </row>
    <row r="760" spans="6:7" ht="12.75">
      <c r="F760">
        <v>759</v>
      </c>
      <c r="G760" s="1">
        <f t="shared" si="12"/>
        <v>8.624468544187827</v>
      </c>
    </row>
    <row r="761" spans="6:7" ht="12.75">
      <c r="F761">
        <v>760</v>
      </c>
      <c r="G761" s="1">
        <f t="shared" si="12"/>
        <v>8.625563770812583</v>
      </c>
    </row>
    <row r="762" spans="6:7" ht="12.75">
      <c r="F762">
        <v>761</v>
      </c>
      <c r="G762" s="1">
        <f t="shared" si="12"/>
        <v>8.626656366498372</v>
      </c>
    </row>
    <row r="763" spans="6:7" ht="12.75">
      <c r="F763">
        <v>762</v>
      </c>
      <c r="G763" s="1">
        <f t="shared" si="12"/>
        <v>8.627745700975922</v>
      </c>
    </row>
    <row r="764" spans="6:7" ht="12.75">
      <c r="F764">
        <v>763</v>
      </c>
      <c r="G764" s="1">
        <f t="shared" si="12"/>
        <v>8.628831143975969</v>
      </c>
    </row>
    <row r="765" spans="6:7" ht="12.75">
      <c r="F765">
        <v>764</v>
      </c>
      <c r="G765" s="1">
        <f t="shared" si="12"/>
        <v>8.62991206522924</v>
      </c>
    </row>
    <row r="766" spans="6:7" ht="12.75">
      <c r="F766">
        <v>765</v>
      </c>
      <c r="G766" s="1">
        <f t="shared" si="12"/>
        <v>8.630987834466469</v>
      </c>
    </row>
    <row r="767" spans="6:7" ht="12.75">
      <c r="F767">
        <v>766</v>
      </c>
      <c r="G767" s="1">
        <f t="shared" si="12"/>
        <v>8.632057821418385</v>
      </c>
    </row>
    <row r="768" spans="6:7" ht="12.75">
      <c r="F768">
        <v>767</v>
      </c>
      <c r="G768" s="1">
        <f t="shared" si="12"/>
        <v>8.633121395815719</v>
      </c>
    </row>
    <row r="769" spans="6:7" ht="12.75">
      <c r="F769">
        <v>768</v>
      </c>
      <c r="G769" s="1">
        <f t="shared" si="12"/>
        <v>8.63417792745661</v>
      </c>
    </row>
    <row r="770" spans="6:7" ht="12.75">
      <c r="F770">
        <v>769</v>
      </c>
      <c r="G770" s="1">
        <f t="shared" si="12"/>
        <v>8.635226785948335</v>
      </c>
    </row>
    <row r="771" spans="6:7" ht="12.75">
      <c r="F771">
        <v>770</v>
      </c>
      <c r="G771" s="1">
        <f aca="true" t="shared" si="13" ref="G771:G834">cubic_spline($A$2:$A$24,$B$2:$B$24,F771)</f>
        <v>8.636267579495883</v>
      </c>
    </row>
    <row r="772" spans="6:7" ht="12.75">
      <c r="F772">
        <v>771</v>
      </c>
      <c r="G772" s="1">
        <f t="shared" si="13"/>
        <v>8.637299200992821</v>
      </c>
    </row>
    <row r="773" spans="6:7" ht="12.75">
      <c r="F773">
        <v>772</v>
      </c>
      <c r="G773" s="1">
        <f t="shared" si="13"/>
        <v>8.638321258588464</v>
      </c>
    </row>
    <row r="774" spans="6:7" ht="12.75">
      <c r="F774">
        <v>773</v>
      </c>
      <c r="G774" s="1">
        <f t="shared" si="13"/>
        <v>8.639333122013543</v>
      </c>
    </row>
    <row r="775" spans="6:7" ht="12.75">
      <c r="F775">
        <v>774</v>
      </c>
      <c r="G775" s="1">
        <f t="shared" si="13"/>
        <v>8.640334160998785</v>
      </c>
    </row>
    <row r="776" spans="6:7" ht="12.75">
      <c r="F776">
        <v>775</v>
      </c>
      <c r="G776" s="1">
        <f t="shared" si="13"/>
        <v>8.641323983693505</v>
      </c>
    </row>
    <row r="777" spans="6:7" ht="12.75">
      <c r="F777">
        <v>776</v>
      </c>
      <c r="G777" s="1">
        <f t="shared" si="13"/>
        <v>8.642301482991275</v>
      </c>
    </row>
    <row r="778" spans="6:7" ht="12.75">
      <c r="F778">
        <v>777</v>
      </c>
      <c r="G778" s="1">
        <f t="shared" si="13"/>
        <v>8.643266267041405</v>
      </c>
    </row>
    <row r="779" spans="6:7" ht="12.75">
      <c r="F779">
        <v>778</v>
      </c>
      <c r="G779" s="1">
        <f t="shared" si="13"/>
        <v>8.644217705574626</v>
      </c>
    </row>
    <row r="780" spans="6:7" ht="12.75">
      <c r="F780">
        <v>779</v>
      </c>
      <c r="G780" s="1">
        <f t="shared" si="13"/>
        <v>8.645155406740248</v>
      </c>
    </row>
    <row r="781" spans="6:7" ht="12.75">
      <c r="F781">
        <v>780</v>
      </c>
      <c r="G781" s="1">
        <f t="shared" si="13"/>
        <v>8.646078263431844</v>
      </c>
    </row>
    <row r="782" spans="6:7" ht="12.75">
      <c r="F782">
        <v>781</v>
      </c>
      <c r="G782" s="1">
        <f t="shared" si="13"/>
        <v>8.64698588379873</v>
      </c>
    </row>
    <row r="783" spans="6:7" ht="12.75">
      <c r="F783">
        <v>782</v>
      </c>
      <c r="G783" s="1">
        <f t="shared" si="13"/>
        <v>8.647877637571625</v>
      </c>
    </row>
    <row r="784" spans="6:7" ht="12.75">
      <c r="F784">
        <v>783</v>
      </c>
      <c r="G784" s="1">
        <f t="shared" si="13"/>
        <v>8.648752894481275</v>
      </c>
    </row>
    <row r="785" spans="6:7" ht="12.75">
      <c r="F785">
        <v>784</v>
      </c>
      <c r="G785" s="1">
        <f t="shared" si="13"/>
        <v>8.64961102436062</v>
      </c>
    </row>
    <row r="786" spans="6:7" ht="12.75">
      <c r="F786">
        <v>785</v>
      </c>
      <c r="G786" s="1">
        <f t="shared" si="13"/>
        <v>8.650451515947946</v>
      </c>
    </row>
    <row r="787" spans="6:7" ht="12.75">
      <c r="F787">
        <v>786</v>
      </c>
      <c r="G787" s="1">
        <f t="shared" si="13"/>
        <v>8.651273500654737</v>
      </c>
    </row>
    <row r="788" spans="6:7" ht="12.75">
      <c r="F788">
        <v>787</v>
      </c>
      <c r="G788" s="1">
        <f t="shared" si="13"/>
        <v>8.652076586630303</v>
      </c>
    </row>
    <row r="789" spans="6:7" ht="12.75">
      <c r="F789">
        <v>788</v>
      </c>
      <c r="G789" s="1">
        <f t="shared" si="13"/>
        <v>8.6528599051868</v>
      </c>
    </row>
    <row r="790" spans="6:7" ht="12.75">
      <c r="F790">
        <v>789</v>
      </c>
      <c r="G790" s="1">
        <f t="shared" si="13"/>
        <v>8.653623064473534</v>
      </c>
    </row>
    <row r="791" spans="6:7" ht="12.75">
      <c r="F791">
        <v>790</v>
      </c>
      <c r="G791" s="1">
        <f t="shared" si="13"/>
        <v>8.654365195802656</v>
      </c>
    </row>
    <row r="792" spans="6:7" ht="12.75">
      <c r="F792">
        <v>791</v>
      </c>
      <c r="G792" s="1">
        <f t="shared" si="13"/>
        <v>8.655085788114196</v>
      </c>
    </row>
    <row r="793" spans="6:7" ht="12.75">
      <c r="F793">
        <v>792</v>
      </c>
      <c r="G793" s="1">
        <f t="shared" si="13"/>
        <v>8.655784270802824</v>
      </c>
    </row>
    <row r="794" spans="6:7" ht="12.75">
      <c r="F794">
        <v>793</v>
      </c>
      <c r="G794" s="1">
        <f t="shared" si="13"/>
        <v>8.65645995387663</v>
      </c>
    </row>
    <row r="795" spans="6:7" ht="12.75">
      <c r="F795">
        <v>794</v>
      </c>
      <c r="G795" s="1">
        <f t="shared" si="13"/>
        <v>8.657112207124946</v>
      </c>
    </row>
    <row r="796" spans="6:7" ht="12.75">
      <c r="F796">
        <v>795</v>
      </c>
      <c r="G796" s="1">
        <f t="shared" si="13"/>
        <v>8.657740340673861</v>
      </c>
    </row>
    <row r="797" spans="6:7" ht="12.75">
      <c r="F797">
        <v>796</v>
      </c>
      <c r="G797" s="1">
        <f t="shared" si="13"/>
        <v>8.658343843493979</v>
      </c>
    </row>
    <row r="798" spans="6:7" ht="12.75">
      <c r="F798">
        <v>797</v>
      </c>
      <c r="G798" s="1">
        <f t="shared" si="13"/>
        <v>8.658921995848017</v>
      </c>
    </row>
    <row r="799" spans="6:7" ht="12.75">
      <c r="F799">
        <v>798</v>
      </c>
      <c r="G799" s="1">
        <f t="shared" si="13"/>
        <v>8.65947421221599</v>
      </c>
    </row>
    <row r="800" spans="6:7" ht="12.75">
      <c r="F800">
        <v>799</v>
      </c>
      <c r="G800" s="1">
        <f t="shared" si="13"/>
        <v>8.65999984741211</v>
      </c>
    </row>
    <row r="801" spans="6:7" ht="12.75">
      <c r="F801">
        <v>800</v>
      </c>
      <c r="G801" s="1">
        <f t="shared" si="13"/>
        <v>8.660498141750402</v>
      </c>
    </row>
    <row r="802" spans="6:7" ht="12.75">
      <c r="F802">
        <v>801</v>
      </c>
      <c r="G802" s="1">
        <f t="shared" si="13"/>
        <v>8.660971143914413</v>
      </c>
    </row>
    <row r="803" spans="6:7" ht="12.75">
      <c r="F803">
        <v>802</v>
      </c>
      <c r="G803" s="1">
        <f t="shared" si="13"/>
        <v>8.661417912144856</v>
      </c>
    </row>
    <row r="804" spans="6:7" ht="12.75">
      <c r="F804">
        <v>803</v>
      </c>
      <c r="G804" s="1">
        <f t="shared" si="13"/>
        <v>8.661841319379718</v>
      </c>
    </row>
    <row r="805" spans="6:7" ht="12.75">
      <c r="F805">
        <v>804</v>
      </c>
      <c r="G805" s="1">
        <f t="shared" si="13"/>
        <v>8.66224042385971</v>
      </c>
    </row>
    <row r="806" spans="6:7" ht="12.75">
      <c r="F806">
        <v>805</v>
      </c>
      <c r="G806" s="1">
        <f t="shared" si="13"/>
        <v>8.662617621685662</v>
      </c>
    </row>
    <row r="807" spans="6:7" ht="12.75">
      <c r="F807">
        <v>806</v>
      </c>
      <c r="G807" s="1">
        <f t="shared" si="13"/>
        <v>8.662973401609765</v>
      </c>
    </row>
    <row r="808" spans="6:7" ht="12.75">
      <c r="F808">
        <v>807</v>
      </c>
      <c r="G808" s="1">
        <f t="shared" si="13"/>
        <v>8.663308729221367</v>
      </c>
    </row>
    <row r="809" spans="6:7" ht="12.75">
      <c r="F809">
        <v>808</v>
      </c>
      <c r="G809" s="1">
        <f t="shared" si="13"/>
        <v>8.663624570109816</v>
      </c>
    </row>
    <row r="810" spans="6:7" ht="12.75">
      <c r="F810">
        <v>809</v>
      </c>
      <c r="G810" s="1">
        <f t="shared" si="13"/>
        <v>8.663921413027307</v>
      </c>
    </row>
    <row r="811" spans="6:7" ht="12.75">
      <c r="F811">
        <v>810</v>
      </c>
      <c r="G811" s="1">
        <f t="shared" si="13"/>
        <v>8.664201177237503</v>
      </c>
    </row>
    <row r="812" spans="6:7" ht="12.75">
      <c r="F812">
        <v>811</v>
      </c>
      <c r="G812" s="1">
        <f t="shared" si="13"/>
        <v>8.664464351492601</v>
      </c>
    </row>
    <row r="813" spans="6:7" ht="12.75">
      <c r="F813">
        <v>812</v>
      </c>
      <c r="G813" s="1">
        <f t="shared" si="13"/>
        <v>8.664711901381942</v>
      </c>
    </row>
    <row r="814" spans="6:7" ht="12.75">
      <c r="F814">
        <v>813</v>
      </c>
      <c r="G814" s="1">
        <f t="shared" si="13"/>
        <v>8.664944792494884</v>
      </c>
    </row>
    <row r="815" spans="6:7" ht="12.75">
      <c r="F815">
        <v>814</v>
      </c>
      <c r="G815" s="1">
        <f t="shared" si="13"/>
        <v>8.665163990420773</v>
      </c>
    </row>
    <row r="816" spans="6:7" ht="12.75">
      <c r="F816">
        <v>815</v>
      </c>
      <c r="G816" s="1">
        <f t="shared" si="13"/>
        <v>8.665370460748958</v>
      </c>
    </row>
    <row r="817" spans="6:7" ht="12.75">
      <c r="F817">
        <v>816</v>
      </c>
      <c r="G817" s="1">
        <f t="shared" si="13"/>
        <v>8.665564692231634</v>
      </c>
    </row>
    <row r="818" spans="6:7" ht="12.75">
      <c r="F818">
        <v>817</v>
      </c>
      <c r="G818" s="1">
        <f t="shared" si="13"/>
        <v>8.66574860413246</v>
      </c>
    </row>
    <row r="819" spans="6:7" ht="12.75">
      <c r="F819">
        <v>818</v>
      </c>
      <c r="G819" s="1">
        <f t="shared" si="13"/>
        <v>8.665922685203636</v>
      </c>
    </row>
    <row r="820" spans="6:7" ht="12.75">
      <c r="F820">
        <v>819</v>
      </c>
      <c r="G820" s="1">
        <f t="shared" si="13"/>
        <v>8.666087901034508</v>
      </c>
    </row>
    <row r="821" spans="6:7" ht="12.75">
      <c r="F821">
        <v>820</v>
      </c>
      <c r="G821" s="1">
        <f t="shared" si="13"/>
        <v>8.666245217214424</v>
      </c>
    </row>
    <row r="822" spans="6:7" ht="12.75">
      <c r="F822">
        <v>821</v>
      </c>
      <c r="G822" s="1">
        <f t="shared" si="13"/>
        <v>8.666395599332738</v>
      </c>
    </row>
    <row r="823" spans="6:7" ht="12.75">
      <c r="F823">
        <v>822</v>
      </c>
      <c r="G823" s="1">
        <f t="shared" si="13"/>
        <v>8.666539536141638</v>
      </c>
    </row>
    <row r="824" spans="6:7" ht="12.75">
      <c r="F824">
        <v>823</v>
      </c>
      <c r="G824" s="1">
        <f t="shared" si="13"/>
        <v>8.66667894690479</v>
      </c>
    </row>
    <row r="825" spans="6:7" ht="12.75">
      <c r="F825">
        <v>824</v>
      </c>
      <c r="G825" s="1">
        <f t="shared" si="13"/>
        <v>8.666814320374389</v>
      </c>
    </row>
    <row r="826" spans="6:7" ht="12.75">
      <c r="F826">
        <v>825</v>
      </c>
      <c r="G826" s="1">
        <f t="shared" si="13"/>
        <v>8.66694662213978</v>
      </c>
    </row>
    <row r="827" spans="6:7" ht="12.75">
      <c r="F827">
        <v>826</v>
      </c>
      <c r="G827" s="1">
        <f t="shared" si="13"/>
        <v>8.667076817790319</v>
      </c>
    </row>
    <row r="828" spans="6:7" ht="12.75">
      <c r="F828">
        <v>827</v>
      </c>
      <c r="G828" s="1">
        <f t="shared" si="13"/>
        <v>8.667205872915348</v>
      </c>
    </row>
    <row r="829" spans="6:7" ht="12.75">
      <c r="F829">
        <v>828</v>
      </c>
      <c r="G829" s="1">
        <f t="shared" si="13"/>
        <v>8.667334753104223</v>
      </c>
    </row>
    <row r="830" spans="6:7" ht="12.75">
      <c r="F830">
        <v>829</v>
      </c>
      <c r="G830" s="1">
        <f t="shared" si="13"/>
        <v>8.667463947109134</v>
      </c>
    </row>
    <row r="831" spans="6:7" ht="12.75">
      <c r="F831">
        <v>830</v>
      </c>
      <c r="G831" s="1">
        <f t="shared" si="13"/>
        <v>8.667595374193743</v>
      </c>
    </row>
    <row r="832" spans="6:7" ht="12.75">
      <c r="F832">
        <v>831</v>
      </c>
      <c r="G832" s="1">
        <f t="shared" si="13"/>
        <v>8.667729523110246</v>
      </c>
    </row>
    <row r="833" spans="6:7" ht="12.75">
      <c r="F833">
        <v>832</v>
      </c>
      <c r="G833" s="1">
        <f t="shared" si="13"/>
        <v>8.667866882454996</v>
      </c>
    </row>
    <row r="834" spans="6:7" ht="12.75">
      <c r="F834">
        <v>833</v>
      </c>
      <c r="G834" s="1">
        <f t="shared" si="13"/>
        <v>8.668009371777789</v>
      </c>
    </row>
    <row r="835" spans="6:7" ht="12.75">
      <c r="F835">
        <v>834</v>
      </c>
      <c r="G835" s="1">
        <f aca="true" t="shared" si="14" ref="G835:G898">cubic_spline($A$2:$A$24,$B$2:$B$24,F835)</f>
        <v>8.668157479701335</v>
      </c>
    </row>
    <row r="836" spans="6:7" ht="12.75">
      <c r="F836">
        <v>835</v>
      </c>
      <c r="G836" s="1">
        <f t="shared" si="14"/>
        <v>8.668312171814986</v>
      </c>
    </row>
    <row r="837" spans="6:7" ht="12.75">
      <c r="F837">
        <v>836</v>
      </c>
      <c r="G837" s="1">
        <f t="shared" si="14"/>
        <v>8.668474413708088</v>
      </c>
    </row>
    <row r="838" spans="6:7" ht="12.75">
      <c r="F838">
        <v>837</v>
      </c>
      <c r="G838" s="1">
        <f t="shared" si="14"/>
        <v>8.668644932551414</v>
      </c>
    </row>
    <row r="839" spans="6:7" ht="12.75">
      <c r="F839">
        <v>838</v>
      </c>
      <c r="G839" s="1">
        <f t="shared" si="14"/>
        <v>8.66882517077147</v>
      </c>
    </row>
    <row r="840" spans="6:7" ht="12.75">
      <c r="F840">
        <v>839</v>
      </c>
      <c r="G840" s="1">
        <f t="shared" si="14"/>
        <v>8.669015855539028</v>
      </c>
    </row>
    <row r="841" spans="6:7" ht="12.75">
      <c r="F841">
        <v>840</v>
      </c>
      <c r="G841" s="1">
        <f t="shared" si="14"/>
        <v>8.669217714024857</v>
      </c>
    </row>
    <row r="842" spans="6:7" ht="12.75">
      <c r="F842">
        <v>841</v>
      </c>
      <c r="G842" s="1">
        <f t="shared" si="14"/>
        <v>8.669432188655469</v>
      </c>
    </row>
    <row r="843" spans="6:7" ht="12.75">
      <c r="F843">
        <v>842</v>
      </c>
      <c r="G843" s="1">
        <f t="shared" si="14"/>
        <v>8.669660006601632</v>
      </c>
    </row>
    <row r="844" spans="6:7" ht="12.75">
      <c r="F844">
        <v>843</v>
      </c>
      <c r="G844" s="1">
        <f t="shared" si="14"/>
        <v>8.669901895034116</v>
      </c>
    </row>
    <row r="845" spans="6:7" ht="12.75">
      <c r="F845">
        <v>844</v>
      </c>
      <c r="G845" s="1">
        <f t="shared" si="14"/>
        <v>8.670159296379428</v>
      </c>
    </row>
    <row r="846" spans="6:7" ht="12.75">
      <c r="F846">
        <v>845</v>
      </c>
      <c r="G846" s="1">
        <f t="shared" si="14"/>
        <v>8.670432937808343</v>
      </c>
    </row>
    <row r="847" spans="6:7" ht="12.75">
      <c r="F847">
        <v>846</v>
      </c>
      <c r="G847" s="1">
        <f t="shared" si="14"/>
        <v>8.670723784910205</v>
      </c>
    </row>
    <row r="848" spans="6:7" ht="12.75">
      <c r="F848">
        <v>847</v>
      </c>
      <c r="G848" s="1">
        <f t="shared" si="14"/>
        <v>8.671032564855789</v>
      </c>
    </row>
    <row r="849" spans="6:7" ht="12.75">
      <c r="F849">
        <v>848</v>
      </c>
      <c r="G849" s="1">
        <f t="shared" si="14"/>
        <v>8.671360481419399</v>
      </c>
    </row>
    <row r="850" spans="6:7" ht="12.75">
      <c r="F850">
        <v>849</v>
      </c>
      <c r="G850" s="1">
        <f t="shared" si="14"/>
        <v>8.671708739069926</v>
      </c>
    </row>
    <row r="851" spans="6:7" ht="12.75">
      <c r="F851">
        <v>850</v>
      </c>
      <c r="G851" s="1">
        <f t="shared" si="14"/>
        <v>8.672078064751204</v>
      </c>
    </row>
    <row r="852" spans="6:7" ht="12.75">
      <c r="F852">
        <v>851</v>
      </c>
      <c r="G852" s="1">
        <f t="shared" si="14"/>
        <v>8.672469304843302</v>
      </c>
    </row>
    <row r="853" spans="6:7" ht="12.75">
      <c r="F853">
        <v>852</v>
      </c>
      <c r="G853" s="1">
        <f t="shared" si="14"/>
        <v>8.672883544144852</v>
      </c>
    </row>
    <row r="854" spans="6:7" ht="12.75">
      <c r="F854">
        <v>853</v>
      </c>
      <c r="G854" s="1">
        <f t="shared" si="14"/>
        <v>8.673321867454494</v>
      </c>
    </row>
    <row r="855" spans="6:7" ht="12.75">
      <c r="F855">
        <v>854</v>
      </c>
      <c r="G855" s="1">
        <f t="shared" si="14"/>
        <v>8.673785001943</v>
      </c>
    </row>
    <row r="856" spans="6:7" ht="12.75">
      <c r="F856">
        <v>855</v>
      </c>
      <c r="G856" s="1">
        <f t="shared" si="14"/>
        <v>8.6742741516183</v>
      </c>
    </row>
    <row r="857" spans="6:7" ht="12.75">
      <c r="F857">
        <v>856</v>
      </c>
      <c r="G857" s="1">
        <f t="shared" si="14"/>
        <v>8.674789924305596</v>
      </c>
    </row>
    <row r="858" spans="6:7" ht="12.75">
      <c r="F858">
        <v>857</v>
      </c>
      <c r="G858" s="1">
        <f t="shared" si="14"/>
        <v>8.67533376270243</v>
      </c>
    </row>
    <row r="859" spans="6:7" ht="12.75">
      <c r="F859">
        <v>858</v>
      </c>
      <c r="G859" s="1">
        <f t="shared" si="14"/>
        <v>8.67590627463573</v>
      </c>
    </row>
    <row r="860" spans="6:7" ht="12.75">
      <c r="F860">
        <v>859</v>
      </c>
      <c r="G860" s="1">
        <f t="shared" si="14"/>
        <v>8.676508604508777</v>
      </c>
    </row>
    <row r="861" spans="6:7" ht="12.75">
      <c r="F861">
        <v>860</v>
      </c>
      <c r="G861" s="1">
        <f t="shared" si="14"/>
        <v>8.677141598631065</v>
      </c>
    </row>
    <row r="862" spans="6:7" ht="12.75">
      <c r="F862">
        <v>861</v>
      </c>
      <c r="G862" s="1">
        <f t="shared" si="14"/>
        <v>8.677806341942018</v>
      </c>
    </row>
    <row r="863" spans="6:7" ht="12.75">
      <c r="F863">
        <v>862</v>
      </c>
      <c r="G863" s="1">
        <f t="shared" si="14"/>
        <v>8.678503710518314</v>
      </c>
    </row>
    <row r="864" spans="6:7" ht="12.75">
      <c r="F864">
        <v>863</v>
      </c>
      <c r="G864" s="1">
        <f t="shared" si="14"/>
        <v>8.679234714706059</v>
      </c>
    </row>
    <row r="865" spans="6:7" ht="12.75">
      <c r="F865">
        <v>864</v>
      </c>
      <c r="G865" s="1">
        <f t="shared" si="14"/>
        <v>8.680000305175781</v>
      </c>
    </row>
    <row r="866" spans="6:7" ht="12.75">
      <c r="F866">
        <v>865</v>
      </c>
      <c r="G866" s="1">
        <f t="shared" si="14"/>
        <v>8.680800745932585</v>
      </c>
    </row>
    <row r="867" spans="6:7" ht="12.75">
      <c r="F867">
        <v>866</v>
      </c>
      <c r="G867" s="1">
        <f t="shared" si="14"/>
        <v>8.681635555580113</v>
      </c>
    </row>
    <row r="868" spans="6:7" ht="12.75">
      <c r="F868">
        <v>867</v>
      </c>
      <c r="G868" s="1">
        <f t="shared" si="14"/>
        <v>8.682504512375978</v>
      </c>
    </row>
    <row r="869" spans="6:7" ht="12.75">
      <c r="F869">
        <v>868</v>
      </c>
      <c r="G869" s="1">
        <f t="shared" si="14"/>
        <v>8.68340452593047</v>
      </c>
    </row>
    <row r="870" spans="6:7" ht="12.75">
      <c r="F870">
        <v>869</v>
      </c>
      <c r="G870" s="1">
        <f t="shared" si="14"/>
        <v>8.684336323136048</v>
      </c>
    </row>
    <row r="871" spans="6:7" ht="12.75">
      <c r="F871">
        <v>870</v>
      </c>
      <c r="G871" s="1">
        <f t="shared" si="14"/>
        <v>8.685296814222829</v>
      </c>
    </row>
    <row r="872" spans="6:7" ht="12.75">
      <c r="F872">
        <v>871</v>
      </c>
      <c r="G872" s="1">
        <f t="shared" si="14"/>
        <v>8.68628625329386</v>
      </c>
    </row>
    <row r="873" spans="6:7" ht="12.75">
      <c r="F873">
        <v>872</v>
      </c>
      <c r="G873" s="1">
        <f t="shared" si="14"/>
        <v>8.687302980971008</v>
      </c>
    </row>
    <row r="874" spans="6:7" ht="12.75">
      <c r="F874">
        <v>873</v>
      </c>
      <c r="G874" s="1">
        <f t="shared" si="14"/>
        <v>8.688345816798098</v>
      </c>
    </row>
    <row r="875" spans="6:7" ht="12.75">
      <c r="F875">
        <v>874</v>
      </c>
      <c r="G875" s="1">
        <f t="shared" si="14"/>
        <v>8.689413101974434</v>
      </c>
    </row>
    <row r="876" spans="6:7" ht="12.75">
      <c r="F876">
        <v>875</v>
      </c>
      <c r="G876" s="1">
        <f t="shared" si="14"/>
        <v>8.690504612842004</v>
      </c>
    </row>
    <row r="877" spans="6:7" ht="12.75">
      <c r="F877">
        <v>876</v>
      </c>
      <c r="G877" s="1">
        <f t="shared" si="14"/>
        <v>8.69161869048886</v>
      </c>
    </row>
    <row r="878" spans="6:7" ht="12.75">
      <c r="F878">
        <v>877</v>
      </c>
      <c r="G878" s="1">
        <f t="shared" si="14"/>
        <v>8.69275415445883</v>
      </c>
    </row>
    <row r="879" spans="6:7" ht="12.75">
      <c r="F879">
        <v>878</v>
      </c>
      <c r="G879" s="1">
        <f t="shared" si="14"/>
        <v>8.693909346375033</v>
      </c>
    </row>
    <row r="880" spans="6:7" ht="12.75">
      <c r="F880">
        <v>879</v>
      </c>
      <c r="G880" s="1">
        <f t="shared" si="14"/>
        <v>8.69508404172335</v>
      </c>
    </row>
    <row r="881" spans="6:7" ht="12.75">
      <c r="F881">
        <v>880</v>
      </c>
      <c r="G881" s="1">
        <f t="shared" si="14"/>
        <v>8.69627610518697</v>
      </c>
    </row>
    <row r="882" spans="6:7" ht="12.75">
      <c r="F882">
        <v>881</v>
      </c>
      <c r="G882" s="1">
        <f t="shared" si="14"/>
        <v>8.697485309984032</v>
      </c>
    </row>
    <row r="883" spans="6:7" ht="12.75">
      <c r="F883">
        <v>882</v>
      </c>
      <c r="G883" s="1">
        <f t="shared" si="14"/>
        <v>8.698709521290406</v>
      </c>
    </row>
    <row r="884" spans="6:7" ht="12.75">
      <c r="F884">
        <v>883</v>
      </c>
      <c r="G884" s="1">
        <f t="shared" si="14"/>
        <v>8.699948513803683</v>
      </c>
    </row>
    <row r="885" spans="6:7" ht="12.75">
      <c r="F885">
        <v>884</v>
      </c>
      <c r="G885" s="1">
        <f t="shared" si="14"/>
        <v>8.701200629442594</v>
      </c>
    </row>
    <row r="886" spans="6:7" ht="12.75">
      <c r="F886">
        <v>885</v>
      </c>
      <c r="G886" s="1">
        <f t="shared" si="14"/>
        <v>8.70246468775096</v>
      </c>
    </row>
    <row r="887" spans="6:7" ht="12.75">
      <c r="F887">
        <v>886</v>
      </c>
      <c r="G887" s="1">
        <f t="shared" si="14"/>
        <v>8.703739031097811</v>
      </c>
    </row>
    <row r="888" spans="6:7" ht="12.75">
      <c r="F888">
        <v>887</v>
      </c>
      <c r="G888" s="1">
        <f t="shared" si="14"/>
        <v>8.70502343346026</v>
      </c>
    </row>
    <row r="889" spans="6:7" ht="12.75">
      <c r="F889">
        <v>888</v>
      </c>
      <c r="G889" s="1">
        <f t="shared" si="14"/>
        <v>8.706316237121515</v>
      </c>
    </row>
    <row r="890" spans="6:7" ht="12.75">
      <c r="F890">
        <v>889</v>
      </c>
      <c r="G890" s="1">
        <f t="shared" si="14"/>
        <v>8.707616261625397</v>
      </c>
    </row>
    <row r="891" spans="6:7" ht="12.75">
      <c r="F891">
        <v>890</v>
      </c>
      <c r="G891" s="1">
        <f t="shared" si="14"/>
        <v>8.708921849663033</v>
      </c>
    </row>
    <row r="892" spans="6:7" ht="12.75">
      <c r="F892">
        <v>891</v>
      </c>
      <c r="G892" s="1">
        <f t="shared" si="14"/>
        <v>8.710232774558866</v>
      </c>
    </row>
    <row r="893" spans="6:7" ht="12.75">
      <c r="F893">
        <v>892</v>
      </c>
      <c r="G893" s="1">
        <f t="shared" si="14"/>
        <v>8.711547378926676</v>
      </c>
    </row>
    <row r="894" spans="6:7" ht="12.75">
      <c r="F894">
        <v>893</v>
      </c>
      <c r="G894" s="1">
        <f t="shared" si="14"/>
        <v>8.71286448231029</v>
      </c>
    </row>
    <row r="895" spans="6:7" ht="12.75">
      <c r="F895">
        <v>894</v>
      </c>
      <c r="G895" s="1">
        <f t="shared" si="14"/>
        <v>8.714182427689014</v>
      </c>
    </row>
    <row r="896" spans="6:7" ht="12.75">
      <c r="F896">
        <v>895</v>
      </c>
      <c r="G896" s="1">
        <f t="shared" si="14"/>
        <v>8.715500987802443</v>
      </c>
    </row>
    <row r="897" spans="6:7" ht="12.75">
      <c r="F897">
        <v>896</v>
      </c>
      <c r="G897" s="1">
        <f t="shared" si="14"/>
        <v>8.716818028925879</v>
      </c>
    </row>
    <row r="898" spans="6:7" ht="12.75">
      <c r="F898">
        <v>897</v>
      </c>
      <c r="G898" s="1">
        <f t="shared" si="14"/>
        <v>8.718133323904684</v>
      </c>
    </row>
    <row r="899" spans="6:7" ht="12.75">
      <c r="F899">
        <v>898</v>
      </c>
      <c r="G899" s="1">
        <f aca="true" t="shared" si="15" ref="G899:G962">cubic_spline($A$2:$A$24,$B$2:$B$24,F899)</f>
        <v>8.719445215878693</v>
      </c>
    </row>
    <row r="900" spans="6:7" ht="12.75">
      <c r="F900">
        <v>899</v>
      </c>
      <c r="G900" s="1">
        <f t="shared" si="15"/>
        <v>8.720752523893932</v>
      </c>
    </row>
    <row r="901" spans="6:7" ht="12.75">
      <c r="F901">
        <v>900</v>
      </c>
      <c r="G901" s="1">
        <f t="shared" si="15"/>
        <v>8.722053829629592</v>
      </c>
    </row>
    <row r="902" spans="6:7" ht="12.75">
      <c r="F902">
        <v>901</v>
      </c>
      <c r="G902" s="1">
        <f t="shared" si="15"/>
        <v>8.723348428852312</v>
      </c>
    </row>
    <row r="903" spans="6:7" ht="12.75">
      <c r="F903">
        <v>902</v>
      </c>
      <c r="G903" s="1">
        <f t="shared" si="15"/>
        <v>8.724634664935017</v>
      </c>
    </row>
    <row r="904" spans="6:7" ht="12.75">
      <c r="F904">
        <v>903</v>
      </c>
      <c r="G904" s="1">
        <f t="shared" si="15"/>
        <v>8.725911595117692</v>
      </c>
    </row>
    <row r="905" spans="6:7" ht="12.75">
      <c r="F905">
        <v>904</v>
      </c>
      <c r="G905" s="1">
        <f t="shared" si="15"/>
        <v>8.727178039714259</v>
      </c>
    </row>
    <row r="906" spans="6:7" ht="12.75">
      <c r="F906">
        <v>905</v>
      </c>
      <c r="G906" s="1">
        <f t="shared" si="15"/>
        <v>8.7284330558651</v>
      </c>
    </row>
    <row r="907" spans="6:7" ht="12.75">
      <c r="F907">
        <v>906</v>
      </c>
      <c r="G907" s="1">
        <f t="shared" si="15"/>
        <v>8.729674987142342</v>
      </c>
    </row>
    <row r="908" spans="6:7" ht="12.75">
      <c r="F908">
        <v>907</v>
      </c>
      <c r="G908" s="1">
        <f t="shared" si="15"/>
        <v>8.73090312901383</v>
      </c>
    </row>
    <row r="909" spans="6:7" ht="12.75">
      <c r="F909">
        <v>908</v>
      </c>
      <c r="G909" s="1">
        <f t="shared" si="15"/>
        <v>8.73211582513856</v>
      </c>
    </row>
    <row r="910" spans="6:7" ht="12.75">
      <c r="F910">
        <v>909</v>
      </c>
      <c r="G910" s="1">
        <f t="shared" si="15"/>
        <v>8.73331237090174</v>
      </c>
    </row>
    <row r="911" spans="6:7" ht="12.75">
      <c r="F911">
        <v>910</v>
      </c>
      <c r="G911" s="1">
        <f t="shared" si="15"/>
        <v>8.734491110040775</v>
      </c>
    </row>
    <row r="912" spans="6:7" ht="12.75">
      <c r="F912">
        <v>911</v>
      </c>
      <c r="G912" s="1">
        <f t="shared" si="15"/>
        <v>8.735651099727924</v>
      </c>
    </row>
    <row r="913" spans="6:7" ht="12.75">
      <c r="F913">
        <v>912</v>
      </c>
      <c r="G913" s="1">
        <f t="shared" si="15"/>
        <v>8.736791398186854</v>
      </c>
    </row>
    <row r="914" spans="6:7" ht="12.75">
      <c r="F914">
        <v>913</v>
      </c>
      <c r="G914" s="1">
        <f t="shared" si="15"/>
        <v>8.737910467331929</v>
      </c>
    </row>
    <row r="915" spans="6:7" ht="12.75">
      <c r="F915">
        <v>914</v>
      </c>
      <c r="G915" s="1">
        <f t="shared" si="15"/>
        <v>8.739007245914669</v>
      </c>
    </row>
    <row r="916" spans="6:7" ht="12.75">
      <c r="F916">
        <v>915</v>
      </c>
      <c r="G916" s="1">
        <f t="shared" si="15"/>
        <v>8.740080434268025</v>
      </c>
    </row>
    <row r="917" spans="6:7" ht="12.75">
      <c r="F917">
        <v>916</v>
      </c>
      <c r="G917" s="1">
        <f t="shared" si="15"/>
        <v>8.7411290903528</v>
      </c>
    </row>
    <row r="918" spans="6:7" ht="12.75">
      <c r="F918">
        <v>917</v>
      </c>
      <c r="G918" s="1">
        <f t="shared" si="15"/>
        <v>8.742151914501942</v>
      </c>
    </row>
    <row r="919" spans="6:7" ht="12.75">
      <c r="F919">
        <v>918</v>
      </c>
      <c r="G919" s="1">
        <f t="shared" si="15"/>
        <v>8.743147726257687</v>
      </c>
    </row>
    <row r="920" spans="6:7" ht="12.75">
      <c r="F920">
        <v>919</v>
      </c>
      <c r="G920" s="1">
        <f t="shared" si="15"/>
        <v>8.744115345162266</v>
      </c>
    </row>
    <row r="921" spans="6:7" ht="12.75">
      <c r="F921">
        <v>920</v>
      </c>
      <c r="G921" s="1">
        <f t="shared" si="15"/>
        <v>8.74505359075791</v>
      </c>
    </row>
    <row r="922" spans="6:7" ht="12.75">
      <c r="F922">
        <v>921</v>
      </c>
      <c r="G922" s="1">
        <f t="shared" si="15"/>
        <v>8.745961222982215</v>
      </c>
    </row>
    <row r="923" spans="6:7" ht="12.75">
      <c r="F923">
        <v>922</v>
      </c>
      <c r="G923" s="1">
        <f t="shared" si="15"/>
        <v>8.746837180586697</v>
      </c>
    </row>
    <row r="924" spans="6:7" ht="12.75">
      <c r="F924">
        <v>923</v>
      </c>
      <c r="G924" s="1">
        <f t="shared" si="15"/>
        <v>8.747680223508947</v>
      </c>
    </row>
    <row r="925" spans="6:7" ht="12.75">
      <c r="F925">
        <v>924</v>
      </c>
      <c r="G925" s="1">
        <f t="shared" si="15"/>
        <v>8.748489141488879</v>
      </c>
    </row>
    <row r="926" spans="6:7" ht="12.75">
      <c r="F926">
        <v>925</v>
      </c>
      <c r="G926" s="1">
        <f t="shared" si="15"/>
        <v>8.749262798772206</v>
      </c>
    </row>
    <row r="927" spans="6:7" ht="12.75">
      <c r="F927">
        <v>926</v>
      </c>
      <c r="G927" s="1">
        <f t="shared" si="15"/>
        <v>8.75</v>
      </c>
    </row>
    <row r="928" spans="6:7" ht="12.75">
      <c r="F928">
        <v>927</v>
      </c>
      <c r="G928" s="1">
        <f t="shared" si="15"/>
        <v>8.750699450808053</v>
      </c>
    </row>
    <row r="929" spans="6:7" ht="12.75">
      <c r="F929">
        <v>928</v>
      </c>
      <c r="G929" s="1">
        <f t="shared" si="15"/>
        <v>8.751362924714778</v>
      </c>
    </row>
    <row r="930" spans="6:7" ht="12.75">
      <c r="F930">
        <v>929</v>
      </c>
      <c r="G930" s="1">
        <f t="shared" si="15"/>
        <v>8.751989220304704</v>
      </c>
    </row>
    <row r="931" spans="6:7" ht="12.75">
      <c r="F931">
        <v>930</v>
      </c>
      <c r="G931" s="1">
        <f t="shared" si="15"/>
        <v>8.752580950859633</v>
      </c>
    </row>
    <row r="932" spans="6:7" ht="12.75">
      <c r="F932">
        <v>931</v>
      </c>
      <c r="G932" s="1">
        <f t="shared" si="15"/>
        <v>8.753136914964095</v>
      </c>
    </row>
    <row r="933" spans="6:7" ht="12.75">
      <c r="F933">
        <v>932</v>
      </c>
      <c r="G933" s="1">
        <f t="shared" si="15"/>
        <v>8.753659249062732</v>
      </c>
    </row>
    <row r="934" spans="6:7" ht="12.75">
      <c r="F934">
        <v>933</v>
      </c>
      <c r="G934" s="1">
        <f t="shared" si="15"/>
        <v>8.754148182251548</v>
      </c>
    </row>
    <row r="935" spans="6:7" ht="12.75">
      <c r="F935">
        <v>934</v>
      </c>
      <c r="G935" s="1">
        <f t="shared" si="15"/>
        <v>8.754604420463712</v>
      </c>
    </row>
    <row r="936" spans="6:7" ht="12.75">
      <c r="F936">
        <v>935</v>
      </c>
      <c r="G936" s="1">
        <f t="shared" si="15"/>
        <v>8.75502866963239</v>
      </c>
    </row>
    <row r="937" spans="6:7" ht="12.75">
      <c r="F937">
        <v>936</v>
      </c>
      <c r="G937" s="1">
        <f t="shared" si="15"/>
        <v>8.755421635690745</v>
      </c>
    </row>
    <row r="938" spans="6:7" ht="12.75">
      <c r="F938">
        <v>937</v>
      </c>
      <c r="G938" s="1">
        <f t="shared" si="15"/>
        <v>8.755784024571941</v>
      </c>
    </row>
    <row r="939" spans="6:7" ht="12.75">
      <c r="F939">
        <v>938</v>
      </c>
      <c r="G939" s="1">
        <f t="shared" si="15"/>
        <v>8.756116542209146</v>
      </c>
    </row>
    <row r="940" spans="6:7" ht="12.75">
      <c r="F940">
        <v>939</v>
      </c>
      <c r="G940" s="1">
        <f t="shared" si="15"/>
        <v>8.756419894535524</v>
      </c>
    </row>
    <row r="941" spans="6:7" ht="12.75">
      <c r="F941">
        <v>940</v>
      </c>
      <c r="G941" s="1">
        <f t="shared" si="15"/>
        <v>8.756694787484243</v>
      </c>
    </row>
    <row r="942" spans="6:7" ht="12.75">
      <c r="F942">
        <v>941</v>
      </c>
      <c r="G942" s="1">
        <f t="shared" si="15"/>
        <v>8.756941926988464</v>
      </c>
    </row>
    <row r="943" spans="6:7" ht="12.75">
      <c r="F943">
        <v>942</v>
      </c>
      <c r="G943" s="1">
        <f t="shared" si="15"/>
        <v>8.7571615421442</v>
      </c>
    </row>
    <row r="944" spans="6:7" ht="12.75">
      <c r="F944">
        <v>943</v>
      </c>
      <c r="G944" s="1">
        <f t="shared" si="15"/>
        <v>8.757355292558929</v>
      </c>
    </row>
    <row r="945" spans="6:7" ht="12.75">
      <c r="F945">
        <v>944</v>
      </c>
      <c r="G945" s="1">
        <f t="shared" si="15"/>
        <v>8.757523407328659</v>
      </c>
    </row>
    <row r="946" spans="6:7" ht="12.75">
      <c r="F946">
        <v>945</v>
      </c>
      <c r="G946" s="1">
        <f t="shared" si="15"/>
        <v>8.757666592386554</v>
      </c>
    </row>
    <row r="947" spans="6:7" ht="12.75">
      <c r="F947">
        <v>946</v>
      </c>
      <c r="G947" s="1">
        <f t="shared" si="15"/>
        <v>8.757785553665782</v>
      </c>
    </row>
    <row r="948" spans="6:7" ht="12.75">
      <c r="F948">
        <v>947</v>
      </c>
      <c r="G948" s="1">
        <f t="shared" si="15"/>
        <v>8.757880997099505</v>
      </c>
    </row>
    <row r="949" spans="6:7" ht="12.75">
      <c r="F949">
        <v>948</v>
      </c>
      <c r="G949" s="1">
        <f t="shared" si="15"/>
        <v>8.757953628620893</v>
      </c>
    </row>
    <row r="950" spans="6:7" ht="12.75">
      <c r="F950">
        <v>949</v>
      </c>
      <c r="G950" s="1">
        <f t="shared" si="15"/>
        <v>8.758004154163109</v>
      </c>
    </row>
    <row r="951" spans="6:7" ht="12.75">
      <c r="F951">
        <v>950</v>
      </c>
      <c r="G951" s="1">
        <f t="shared" si="15"/>
        <v>8.758033279659315</v>
      </c>
    </row>
    <row r="952" spans="6:7" ht="12.75">
      <c r="F952">
        <v>951</v>
      </c>
      <c r="G952" s="1">
        <f t="shared" si="15"/>
        <v>8.758041711042683</v>
      </c>
    </row>
    <row r="953" spans="6:7" ht="12.75">
      <c r="F953">
        <v>952</v>
      </c>
      <c r="G953" s="1">
        <f t="shared" si="15"/>
        <v>8.758030154246375</v>
      </c>
    </row>
    <row r="954" spans="6:7" ht="12.75">
      <c r="F954">
        <v>953</v>
      </c>
      <c r="G954" s="1">
        <f t="shared" si="15"/>
        <v>8.7579988383664</v>
      </c>
    </row>
    <row r="955" spans="6:7" ht="12.75">
      <c r="F955">
        <v>954</v>
      </c>
      <c r="G955" s="1">
        <f t="shared" si="15"/>
        <v>8.757949423010237</v>
      </c>
    </row>
    <row r="956" spans="6:7" ht="12.75">
      <c r="F956">
        <v>955</v>
      </c>
      <c r="G956" s="1">
        <f t="shared" si="15"/>
        <v>8.757882137273894</v>
      </c>
    </row>
    <row r="957" spans="6:7" ht="12.75">
      <c r="F957">
        <v>956</v>
      </c>
      <c r="G957" s="1">
        <f t="shared" si="15"/>
        <v>8.757797687090536</v>
      </c>
    </row>
    <row r="958" spans="6:7" ht="12.75">
      <c r="F958">
        <v>957</v>
      </c>
      <c r="G958" s="1">
        <f t="shared" si="15"/>
        <v>8.75769677839333</v>
      </c>
    </row>
    <row r="959" spans="6:7" ht="12.75">
      <c r="F959">
        <v>958</v>
      </c>
      <c r="G959" s="1">
        <f t="shared" si="15"/>
        <v>8.757579640075264</v>
      </c>
    </row>
    <row r="960" spans="6:7" ht="12.75">
      <c r="F960">
        <v>959</v>
      </c>
      <c r="G960" s="1">
        <f t="shared" si="15"/>
        <v>8.757447932115648</v>
      </c>
    </row>
    <row r="961" spans="6:7" ht="12.75">
      <c r="F961">
        <v>960</v>
      </c>
      <c r="G961" s="1">
        <f t="shared" si="15"/>
        <v>8.757301883442798</v>
      </c>
    </row>
    <row r="962" spans="6:7" ht="12.75">
      <c r="F962">
        <v>961</v>
      </c>
      <c r="G962" s="1">
        <f t="shared" si="15"/>
        <v>8.757142199989886</v>
      </c>
    </row>
    <row r="963" spans="6:7" ht="12.75">
      <c r="F963">
        <v>962</v>
      </c>
      <c r="G963" s="1">
        <f aca="true" t="shared" si="16" ref="G963:G1026">cubic_spline($A$2:$A$24,$B$2:$B$24,F963)</f>
        <v>8.756969587690074</v>
      </c>
    </row>
    <row r="964" spans="6:7" ht="12.75">
      <c r="F964">
        <v>963</v>
      </c>
      <c r="G964" s="1">
        <f t="shared" si="16"/>
        <v>8.756784752476527</v>
      </c>
    </row>
    <row r="965" spans="6:7" ht="12.75">
      <c r="F965">
        <v>964</v>
      </c>
      <c r="G965" s="1">
        <f t="shared" si="16"/>
        <v>8.75658840028241</v>
      </c>
    </row>
    <row r="966" spans="6:7" ht="12.75">
      <c r="F966">
        <v>965</v>
      </c>
      <c r="G966" s="1">
        <f t="shared" si="16"/>
        <v>8.756381237040891</v>
      </c>
    </row>
    <row r="967" spans="6:7" ht="12.75">
      <c r="F967">
        <v>966</v>
      </c>
      <c r="G967" s="1">
        <f t="shared" si="16"/>
        <v>8.756163730266554</v>
      </c>
    </row>
    <row r="968" spans="6:7" ht="12.75">
      <c r="F968">
        <v>967</v>
      </c>
      <c r="G968" s="1">
        <f t="shared" si="16"/>
        <v>8.755937062729723</v>
      </c>
    </row>
    <row r="969" spans="6:7" ht="12.75">
      <c r="F969">
        <v>968</v>
      </c>
      <c r="G969" s="1">
        <f t="shared" si="16"/>
        <v>8.755701701944984</v>
      </c>
    </row>
    <row r="970" spans="6:7" ht="12.75">
      <c r="F970">
        <v>969</v>
      </c>
      <c r="G970" s="1">
        <f t="shared" si="16"/>
        <v>8.755458353845505</v>
      </c>
    </row>
    <row r="971" spans="6:7" ht="12.75">
      <c r="F971">
        <v>970</v>
      </c>
      <c r="G971" s="1">
        <f t="shared" si="16"/>
        <v>8.75520772436445</v>
      </c>
    </row>
    <row r="972" spans="6:7" ht="12.75">
      <c r="F972">
        <v>971</v>
      </c>
      <c r="G972" s="1">
        <f t="shared" si="16"/>
        <v>8.754950281016404</v>
      </c>
    </row>
    <row r="973" spans="6:7" ht="12.75">
      <c r="F973">
        <v>972</v>
      </c>
      <c r="G973" s="1">
        <f t="shared" si="16"/>
        <v>8.754687206571692</v>
      </c>
    </row>
    <row r="974" spans="6:7" ht="12.75">
      <c r="F974">
        <v>973</v>
      </c>
      <c r="G974" s="1">
        <f t="shared" si="16"/>
        <v>8.754418968544899</v>
      </c>
    </row>
    <row r="975" spans="6:7" ht="12.75">
      <c r="F975">
        <v>974</v>
      </c>
      <c r="G975" s="1">
        <f t="shared" si="16"/>
        <v>8.754146034142716</v>
      </c>
    </row>
    <row r="976" spans="6:7" ht="12.75">
      <c r="F976">
        <v>975</v>
      </c>
      <c r="G976" s="1">
        <f t="shared" si="16"/>
        <v>8.753869586743127</v>
      </c>
    </row>
    <row r="977" spans="6:7" ht="12.75">
      <c r="F977">
        <v>976</v>
      </c>
      <c r="G977" s="1">
        <f t="shared" si="16"/>
        <v>8.753590093561513</v>
      </c>
    </row>
    <row r="978" spans="6:7" ht="12.75">
      <c r="F978">
        <v>977</v>
      </c>
      <c r="G978" s="1">
        <f t="shared" si="16"/>
        <v>8.753308260531044</v>
      </c>
    </row>
    <row r="979" spans="6:7" ht="12.75">
      <c r="F979">
        <v>978</v>
      </c>
      <c r="G979" s="1">
        <f t="shared" si="16"/>
        <v>8.753024674375594</v>
      </c>
    </row>
    <row r="980" spans="6:7" ht="12.75">
      <c r="F980">
        <v>979</v>
      </c>
      <c r="G980" s="1">
        <f t="shared" si="16"/>
        <v>8.752740279446904</v>
      </c>
    </row>
    <row r="981" spans="6:7" ht="12.75">
      <c r="F981">
        <v>980</v>
      </c>
      <c r="G981" s="1">
        <f t="shared" si="16"/>
        <v>8.752455543259565</v>
      </c>
    </row>
    <row r="982" spans="6:7" ht="12.75">
      <c r="F982">
        <v>981</v>
      </c>
      <c r="G982" s="1">
        <f t="shared" si="16"/>
        <v>8.75217141016532</v>
      </c>
    </row>
    <row r="983" spans="6:7" ht="12.75">
      <c r="F983">
        <v>982</v>
      </c>
      <c r="G983" s="1">
        <f t="shared" si="16"/>
        <v>8.751888347500131</v>
      </c>
    </row>
    <row r="984" spans="6:7" ht="12.75">
      <c r="F984">
        <v>983</v>
      </c>
      <c r="G984" s="1">
        <f t="shared" si="16"/>
        <v>8.751607299971166</v>
      </c>
    </row>
    <row r="985" spans="6:7" ht="12.75">
      <c r="F985">
        <v>984</v>
      </c>
      <c r="G985" s="1">
        <f t="shared" si="16"/>
        <v>8.751328794521136</v>
      </c>
    </row>
    <row r="986" spans="6:7" ht="12.75">
      <c r="F986">
        <v>985</v>
      </c>
      <c r="G986" s="1">
        <f t="shared" si="16"/>
        <v>8.751053596687854</v>
      </c>
    </row>
    <row r="987" spans="6:7" ht="12.75">
      <c r="F987">
        <v>986</v>
      </c>
      <c r="G987" s="1">
        <f t="shared" si="16"/>
        <v>8.750782412312367</v>
      </c>
    </row>
    <row r="988" spans="6:7" ht="12.75">
      <c r="F988">
        <v>987</v>
      </c>
      <c r="G988" s="1">
        <f t="shared" si="16"/>
        <v>8.750515947511722</v>
      </c>
    </row>
    <row r="989" spans="6:7" ht="12.75">
      <c r="F989">
        <v>988</v>
      </c>
      <c r="G989" s="1">
        <f t="shared" si="16"/>
        <v>8.750254908081121</v>
      </c>
    </row>
    <row r="990" spans="6:7" ht="12.75">
      <c r="F990">
        <v>989</v>
      </c>
      <c r="G990" s="1">
        <f t="shared" si="16"/>
        <v>8.75</v>
      </c>
    </row>
    <row r="991" spans="6:7" ht="12.75">
      <c r="F991">
        <v>990</v>
      </c>
      <c r="G991" s="1">
        <f t="shared" si="16"/>
        <v>8.74975247509806</v>
      </c>
    </row>
    <row r="992" spans="6:7" ht="12.75">
      <c r="F992">
        <v>991</v>
      </c>
      <c r="G992" s="1">
        <f t="shared" si="16"/>
        <v>8.74951196012682</v>
      </c>
    </row>
    <row r="993" spans="6:7" ht="12.75">
      <c r="F993">
        <v>992</v>
      </c>
      <c r="G993" s="1">
        <f t="shared" si="16"/>
        <v>8.749281490166933</v>
      </c>
    </row>
    <row r="994" spans="6:7" ht="12.75">
      <c r="F994">
        <v>993</v>
      </c>
      <c r="G994" s="1">
        <f t="shared" si="16"/>
        <v>8.749060284183983</v>
      </c>
    </row>
    <row r="995" spans="6:7" ht="12.75">
      <c r="F995">
        <v>994</v>
      </c>
      <c r="G995" s="1">
        <f t="shared" si="16"/>
        <v>8.748850422261047</v>
      </c>
    </row>
    <row r="996" spans="6:7" ht="12.75">
      <c r="F996">
        <v>995</v>
      </c>
      <c r="G996" s="1">
        <f t="shared" si="16"/>
        <v>8.748653985662644</v>
      </c>
    </row>
    <row r="997" spans="6:7" ht="12.75">
      <c r="F997">
        <v>996</v>
      </c>
      <c r="G997" s="1">
        <f t="shared" si="16"/>
        <v>8.748470670263034</v>
      </c>
    </row>
    <row r="998" spans="6:7" ht="12.75">
      <c r="F998">
        <v>997</v>
      </c>
      <c r="G998" s="1">
        <f t="shared" si="16"/>
        <v>8.74830207937477</v>
      </c>
    </row>
    <row r="999" spans="6:7" ht="12.75">
      <c r="F999">
        <v>998</v>
      </c>
      <c r="G999" s="1">
        <f t="shared" si="16"/>
        <v>8.748149340453567</v>
      </c>
    </row>
    <row r="1000" spans="6:7" ht="12.75">
      <c r="F1000">
        <v>999</v>
      </c>
      <c r="G1000" s="1">
        <f t="shared" si="16"/>
        <v>8.748013579953017</v>
      </c>
    </row>
    <row r="1001" spans="6:7" ht="12.75">
      <c r="F1001">
        <v>1000</v>
      </c>
      <c r="G1001" s="1">
        <f t="shared" si="16"/>
        <v>8.747895924411477</v>
      </c>
    </row>
    <row r="1002" spans="6:7" ht="12.75">
      <c r="F1002">
        <v>1001</v>
      </c>
      <c r="G1002" s="1">
        <f t="shared" si="16"/>
        <v>8.747797501157514</v>
      </c>
    </row>
    <row r="1003" spans="6:7" ht="12.75">
      <c r="F1003">
        <v>1002</v>
      </c>
      <c r="G1003" s="1">
        <f t="shared" si="16"/>
        <v>8.747719913546058</v>
      </c>
    </row>
    <row r="1004" spans="6:7" ht="12.75">
      <c r="F1004">
        <v>1003</v>
      </c>
      <c r="G1004" s="1">
        <f t="shared" si="16"/>
        <v>8.747662857663292</v>
      </c>
    </row>
    <row r="1005" spans="6:7" ht="12.75">
      <c r="F1005">
        <v>1004</v>
      </c>
      <c r="G1005" s="1">
        <f t="shared" si="16"/>
        <v>8.747628891229443</v>
      </c>
    </row>
    <row r="1006" spans="6:7" ht="12.75">
      <c r="F1006">
        <v>1005</v>
      </c>
      <c r="G1006" s="1">
        <f t="shared" si="16"/>
        <v>8.747619140822803</v>
      </c>
    </row>
    <row r="1007" spans="6:7" ht="12.75">
      <c r="F1007">
        <v>1006</v>
      </c>
      <c r="G1007" s="1">
        <f t="shared" si="16"/>
        <v>8.74763330258518</v>
      </c>
    </row>
    <row r="1008" spans="6:7" ht="12.75">
      <c r="F1008">
        <v>1007</v>
      </c>
      <c r="G1008" s="1">
        <f t="shared" si="16"/>
        <v>8.74767393412432</v>
      </c>
    </row>
    <row r="1009" spans="6:7" ht="12.75">
      <c r="F1009">
        <v>1008</v>
      </c>
      <c r="G1009" s="1">
        <f t="shared" si="16"/>
        <v>8.747742162075372</v>
      </c>
    </row>
    <row r="1010" spans="6:7" ht="12.75">
      <c r="F1010">
        <v>1009</v>
      </c>
      <c r="G1010" s="1">
        <f t="shared" si="16"/>
        <v>8.747837682632102</v>
      </c>
    </row>
    <row r="1011" spans="6:7" ht="12.75">
      <c r="F1011">
        <v>1010</v>
      </c>
      <c r="G1011" s="1">
        <f t="shared" si="16"/>
        <v>8.747963053297113</v>
      </c>
    </row>
    <row r="1012" spans="6:7" ht="12.75">
      <c r="F1012">
        <v>1011</v>
      </c>
      <c r="G1012" s="1">
        <f t="shared" si="16"/>
        <v>8.748119400758734</v>
      </c>
    </row>
    <row r="1013" spans="6:7" ht="12.75">
      <c r="F1013">
        <v>1012</v>
      </c>
      <c r="G1013" s="1">
        <f t="shared" si="16"/>
        <v>8.748306421259024</v>
      </c>
    </row>
    <row r="1014" spans="6:7" ht="12.75">
      <c r="F1014">
        <v>1013</v>
      </c>
      <c r="G1014" s="1">
        <f t="shared" si="16"/>
        <v>8.74852667220278</v>
      </c>
    </row>
    <row r="1015" spans="6:7" ht="12.75">
      <c r="F1015">
        <v>1014</v>
      </c>
      <c r="G1015" s="1">
        <f t="shared" si="16"/>
        <v>8.748781280327849</v>
      </c>
    </row>
    <row r="1016" spans="6:7" ht="12.75">
      <c r="F1016">
        <v>1015</v>
      </c>
      <c r="G1016" s="1">
        <f t="shared" si="16"/>
        <v>8.749069941920911</v>
      </c>
    </row>
    <row r="1017" spans="6:7" ht="12.75">
      <c r="F1017">
        <v>1016</v>
      </c>
      <c r="G1017" s="1">
        <f t="shared" si="16"/>
        <v>8.74939521429629</v>
      </c>
    </row>
    <row r="1018" spans="6:7" ht="12.75">
      <c r="F1018">
        <v>1017</v>
      </c>
      <c r="G1018" s="1">
        <f t="shared" si="16"/>
        <v>8.749758224237683</v>
      </c>
    </row>
    <row r="1019" spans="6:7" ht="12.75">
      <c r="F1019">
        <v>1018</v>
      </c>
      <c r="G1019" s="1">
        <f t="shared" si="16"/>
        <v>8.750158668072725</v>
      </c>
    </row>
    <row r="1020" spans="6:7" ht="12.75">
      <c r="F1020">
        <v>1019</v>
      </c>
      <c r="G1020" s="1">
        <f t="shared" si="16"/>
        <v>8.750599103032608</v>
      </c>
    </row>
    <row r="1021" spans="6:7" ht="12.75">
      <c r="F1021">
        <v>1020</v>
      </c>
      <c r="G1021" s="1">
        <f t="shared" si="16"/>
        <v>8.751080655943198</v>
      </c>
    </row>
    <row r="1022" spans="6:7" ht="12.75">
      <c r="F1022">
        <v>1021</v>
      </c>
      <c r="G1022" s="1">
        <f t="shared" si="16"/>
        <v>8.751603499965906</v>
      </c>
    </row>
    <row r="1023" spans="6:7" ht="12.75">
      <c r="F1023">
        <v>1022</v>
      </c>
      <c r="G1023" s="1">
        <f t="shared" si="16"/>
        <v>8.752168761866693</v>
      </c>
    </row>
    <row r="1024" spans="6:7" ht="12.75">
      <c r="F1024">
        <v>1023</v>
      </c>
      <c r="G1024" s="1">
        <f t="shared" si="16"/>
        <v>8.752778760480783</v>
      </c>
    </row>
    <row r="1025" spans="6:7" ht="12.75">
      <c r="F1025">
        <v>1024</v>
      </c>
      <c r="G1025" s="1">
        <f t="shared" si="16"/>
        <v>8.753433669027078</v>
      </c>
    </row>
    <row r="1026" spans="6:7" ht="12.75">
      <c r="F1026">
        <v>1025</v>
      </c>
      <c r="G1026" s="1">
        <f t="shared" si="16"/>
        <v>8.75413485267209</v>
      </c>
    </row>
    <row r="1027" spans="6:7" ht="12.75">
      <c r="F1027">
        <v>1026</v>
      </c>
      <c r="G1027" s="1">
        <f aca="true" t="shared" si="17" ref="G1027:G1090">cubic_spline($A$2:$A$24,$B$2:$B$24,F1027)</f>
        <v>8.754883676561137</v>
      </c>
    </row>
    <row r="1028" spans="6:7" ht="12.75">
      <c r="F1028">
        <v>1027</v>
      </c>
      <c r="G1028" s="1">
        <f t="shared" si="17"/>
        <v>8.755680552363486</v>
      </c>
    </row>
    <row r="1029" spans="6:7" ht="12.75">
      <c r="F1029">
        <v>1028</v>
      </c>
      <c r="G1029" s="1">
        <f t="shared" si="17"/>
        <v>8.756527322066606</v>
      </c>
    </row>
    <row r="1030" spans="6:7" ht="12.75">
      <c r="F1030">
        <v>1029</v>
      </c>
      <c r="G1030" s="1">
        <f t="shared" si="17"/>
        <v>8.757425112383485</v>
      </c>
    </row>
    <row r="1031" spans="6:7" ht="12.75">
      <c r="F1031">
        <v>1030</v>
      </c>
      <c r="G1031" s="1">
        <f t="shared" si="17"/>
        <v>8.75837433501151</v>
      </c>
    </row>
    <row r="1032" spans="6:7" ht="12.75">
      <c r="F1032">
        <v>1031</v>
      </c>
      <c r="G1032" s="1">
        <f t="shared" si="17"/>
        <v>8.759376831923785</v>
      </c>
    </row>
    <row r="1033" spans="6:7" ht="12.75">
      <c r="F1033">
        <v>1032</v>
      </c>
      <c r="G1033" s="1">
        <f t="shared" si="17"/>
        <v>8.760433729821376</v>
      </c>
    </row>
    <row r="1034" spans="6:7" ht="12.75">
      <c r="F1034">
        <v>1033</v>
      </c>
      <c r="G1034" s="1">
        <f t="shared" si="17"/>
        <v>8.761545440426119</v>
      </c>
    </row>
    <row r="1035" spans="6:7" ht="12.75">
      <c r="F1035">
        <v>1034</v>
      </c>
      <c r="G1035" s="1">
        <f t="shared" si="17"/>
        <v>8.762713805698592</v>
      </c>
    </row>
    <row r="1036" spans="6:7" ht="12.75">
      <c r="F1036">
        <v>1035</v>
      </c>
      <c r="G1036" s="1">
        <f t="shared" si="17"/>
        <v>8.763939952329768</v>
      </c>
    </row>
    <row r="1037" spans="6:7" ht="12.75">
      <c r="F1037">
        <v>1036</v>
      </c>
      <c r="G1037" s="1">
        <f t="shared" si="17"/>
        <v>8.765224292062275</v>
      </c>
    </row>
    <row r="1038" spans="6:7" ht="12.75">
      <c r="F1038">
        <v>1037</v>
      </c>
      <c r="G1038" s="1">
        <f t="shared" si="17"/>
        <v>8.7665687860007</v>
      </c>
    </row>
    <row r="1039" spans="6:7" ht="12.75">
      <c r="F1039">
        <v>1038</v>
      </c>
      <c r="G1039" s="1">
        <f t="shared" si="17"/>
        <v>8.767974203363627</v>
      </c>
    </row>
    <row r="1040" spans="6:7" ht="12.75">
      <c r="F1040">
        <v>1039</v>
      </c>
      <c r="G1040" s="1">
        <f t="shared" si="17"/>
        <v>8.76944143258423</v>
      </c>
    </row>
    <row r="1041" spans="6:7" ht="12.75">
      <c r="F1041">
        <v>1040</v>
      </c>
      <c r="G1041" s="1">
        <f t="shared" si="17"/>
        <v>8.770971957972137</v>
      </c>
    </row>
    <row r="1042" spans="6:7" ht="12.75">
      <c r="F1042">
        <v>1041</v>
      </c>
      <c r="G1042" s="1">
        <f t="shared" si="17"/>
        <v>8.77256690637792</v>
      </c>
    </row>
    <row r="1043" spans="6:7" ht="12.75">
      <c r="F1043">
        <v>1042</v>
      </c>
      <c r="G1043" s="1">
        <f t="shared" si="17"/>
        <v>8.774227047028372</v>
      </c>
    </row>
    <row r="1044" spans="6:7" ht="12.75">
      <c r="F1044">
        <v>1043</v>
      </c>
      <c r="G1044" s="1">
        <f t="shared" si="17"/>
        <v>8.775953864227004</v>
      </c>
    </row>
    <row r="1045" spans="6:7" ht="12.75">
      <c r="F1045">
        <v>1044</v>
      </c>
      <c r="G1045" s="1">
        <f t="shared" si="17"/>
        <v>8.777748484827608</v>
      </c>
    </row>
    <row r="1046" spans="6:7" ht="12.75">
      <c r="F1046">
        <v>1045</v>
      </c>
      <c r="G1046" s="1">
        <f t="shared" si="17"/>
        <v>8.779611737632642</v>
      </c>
    </row>
    <row r="1047" spans="6:7" ht="12.75">
      <c r="F1047">
        <v>1046</v>
      </c>
      <c r="G1047" s="1">
        <f t="shared" si="17"/>
        <v>8.781544987824919</v>
      </c>
    </row>
    <row r="1048" spans="6:7" ht="12.75">
      <c r="F1048">
        <v>1047</v>
      </c>
      <c r="G1048" s="1">
        <f t="shared" si="17"/>
        <v>8.783549362167655</v>
      </c>
    </row>
    <row r="1049" spans="6:7" ht="12.75">
      <c r="F1049">
        <v>1048</v>
      </c>
      <c r="G1049" s="1">
        <f t="shared" si="17"/>
        <v>8.785625838506414</v>
      </c>
    </row>
    <row r="1050" spans="6:7" ht="12.75">
      <c r="F1050">
        <v>1049</v>
      </c>
      <c r="G1050" s="1">
        <f t="shared" si="17"/>
        <v>8.787775677699253</v>
      </c>
    </row>
    <row r="1051" spans="6:7" ht="12.75">
      <c r="F1051">
        <v>1050</v>
      </c>
      <c r="G1051" s="1">
        <f t="shared" si="17"/>
        <v>8.789999961853027</v>
      </c>
    </row>
    <row r="1052" spans="6:7" ht="12.75">
      <c r="F1052">
        <v>1051</v>
      </c>
      <c r="G1052" s="1">
        <f t="shared" si="17"/>
        <v>8.79229947145609</v>
      </c>
    </row>
    <row r="1053" spans="6:7" ht="12.75">
      <c r="F1053">
        <v>1052</v>
      </c>
      <c r="G1053" s="1">
        <f t="shared" si="17"/>
        <v>8.794670634413706</v>
      </c>
    </row>
    <row r="1054" spans="6:7" ht="12.75">
      <c r="F1054">
        <v>1053</v>
      </c>
      <c r="G1054" s="1">
        <f t="shared" si="17"/>
        <v>8.797112393347788</v>
      </c>
    </row>
    <row r="1055" spans="6:7" ht="12.75">
      <c r="F1055">
        <v>1054</v>
      </c>
      <c r="G1055" s="1">
        <f t="shared" si="17"/>
        <v>8.799620829857304</v>
      </c>
    </row>
    <row r="1056" spans="6:7" ht="12.75">
      <c r="F1056">
        <v>1055</v>
      </c>
      <c r="G1056" s="1">
        <f t="shared" si="17"/>
        <v>8.802192025541217</v>
      </c>
    </row>
    <row r="1057" spans="6:7" ht="12.75">
      <c r="F1057">
        <v>1056</v>
      </c>
      <c r="G1057" s="1">
        <f t="shared" si="17"/>
        <v>8.804824923021442</v>
      </c>
    </row>
    <row r="1058" spans="6:7" ht="12.75">
      <c r="F1058">
        <v>1057</v>
      </c>
      <c r="G1058" s="1">
        <f t="shared" si="17"/>
        <v>8.807515127059787</v>
      </c>
    </row>
    <row r="1059" spans="6:7" ht="12.75">
      <c r="F1059">
        <v>1058</v>
      </c>
      <c r="G1059" s="1">
        <f t="shared" si="17"/>
        <v>8.810260149766691</v>
      </c>
    </row>
    <row r="1060" spans="6:7" ht="12.75">
      <c r="F1060">
        <v>1059</v>
      </c>
      <c r="G1060" s="1">
        <f t="shared" si="17"/>
        <v>8.813057503252594</v>
      </c>
    </row>
    <row r="1061" spans="6:7" ht="12.75">
      <c r="F1061">
        <v>1060</v>
      </c>
      <c r="G1061" s="1">
        <f t="shared" si="17"/>
        <v>8.815903269116461</v>
      </c>
    </row>
    <row r="1062" spans="6:7" ht="12.75">
      <c r="F1062">
        <v>1061</v>
      </c>
      <c r="G1062" s="1">
        <f t="shared" si="17"/>
        <v>8.818794959468732</v>
      </c>
    </row>
    <row r="1063" spans="6:7" ht="12.75">
      <c r="F1063">
        <v>1062</v>
      </c>
      <c r="G1063" s="1">
        <f t="shared" si="17"/>
        <v>8.82172960958269</v>
      </c>
    </row>
    <row r="1064" spans="6:7" ht="12.75">
      <c r="F1064">
        <v>1063</v>
      </c>
      <c r="G1064" s="1">
        <f t="shared" si="17"/>
        <v>8.824704731568772</v>
      </c>
    </row>
    <row r="1065" spans="6:7" ht="12.75">
      <c r="F1065">
        <v>1064</v>
      </c>
      <c r="G1065" s="1">
        <f t="shared" si="17"/>
        <v>8.827716407025946</v>
      </c>
    </row>
    <row r="1066" spans="6:7" ht="12.75">
      <c r="F1066">
        <v>1065</v>
      </c>
      <c r="G1066" s="1">
        <f t="shared" si="17"/>
        <v>8.83076214806465</v>
      </c>
    </row>
    <row r="1067" spans="6:7" ht="12.75">
      <c r="F1067">
        <v>1066</v>
      </c>
      <c r="G1067" s="1">
        <f t="shared" si="17"/>
        <v>8.833838989958167</v>
      </c>
    </row>
    <row r="1068" spans="6:7" ht="12.75">
      <c r="F1068">
        <v>1067</v>
      </c>
      <c r="G1068" s="1">
        <f t="shared" si="17"/>
        <v>8.836944444816936</v>
      </c>
    </row>
    <row r="1069" spans="6:7" ht="12.75">
      <c r="F1069">
        <v>1068</v>
      </c>
      <c r="G1069" s="1">
        <f t="shared" si="17"/>
        <v>8.840074594239923</v>
      </c>
    </row>
    <row r="1070" spans="6:7" ht="12.75">
      <c r="F1070">
        <v>1069</v>
      </c>
      <c r="G1070" s="1">
        <f t="shared" si="17"/>
        <v>8.843226950337566</v>
      </c>
    </row>
    <row r="1071" spans="6:7" ht="12.75">
      <c r="F1071">
        <v>1070</v>
      </c>
      <c r="G1071" s="1">
        <f t="shared" si="17"/>
        <v>8.846399025220308</v>
      </c>
    </row>
    <row r="1072" spans="6:7" ht="12.75">
      <c r="F1072">
        <v>1071</v>
      </c>
      <c r="G1072" s="1">
        <f t="shared" si="17"/>
        <v>8.849586900487111</v>
      </c>
    </row>
    <row r="1073" spans="6:7" ht="12.75">
      <c r="F1073">
        <v>1072</v>
      </c>
      <c r="G1073" s="1">
        <f t="shared" si="17"/>
        <v>8.852788088248417</v>
      </c>
    </row>
    <row r="1074" spans="6:7" ht="12.75">
      <c r="F1074">
        <v>1073</v>
      </c>
      <c r="G1074" s="1">
        <f t="shared" si="17"/>
        <v>8.855999623777507</v>
      </c>
    </row>
    <row r="1075" spans="6:7" ht="12.75">
      <c r="F1075">
        <v>1074</v>
      </c>
      <c r="G1075" s="1">
        <f t="shared" si="17"/>
        <v>8.85921901918482</v>
      </c>
    </row>
    <row r="1076" spans="6:7" ht="12.75">
      <c r="F1076">
        <v>1075</v>
      </c>
      <c r="G1076" s="1">
        <f t="shared" si="17"/>
        <v>8.862442356069323</v>
      </c>
    </row>
    <row r="1077" spans="6:7" ht="12.75">
      <c r="F1077">
        <v>1076</v>
      </c>
      <c r="G1077" s="1">
        <f t="shared" si="17"/>
        <v>8.865667146541455</v>
      </c>
    </row>
    <row r="1078" spans="6:7" ht="12.75">
      <c r="F1078">
        <v>1077</v>
      </c>
      <c r="G1078" s="1">
        <f t="shared" si="17"/>
        <v>8.868890902711655</v>
      </c>
    </row>
    <row r="1079" spans="6:7" ht="12.75">
      <c r="F1079">
        <v>1078</v>
      </c>
      <c r="G1079" s="1">
        <f t="shared" si="17"/>
        <v>8.87210970617889</v>
      </c>
    </row>
    <row r="1080" spans="6:7" ht="12.75">
      <c r="F1080">
        <v>1079</v>
      </c>
      <c r="G1080" s="1">
        <f t="shared" si="17"/>
        <v>8.875321069053598</v>
      </c>
    </row>
    <row r="1081" spans="6:7" ht="12.75">
      <c r="F1081">
        <v>1080</v>
      </c>
      <c r="G1081" s="1">
        <f t="shared" si="17"/>
        <v>8.878522026609062</v>
      </c>
    </row>
    <row r="1082" spans="6:7" ht="12.75">
      <c r="F1082">
        <v>1081</v>
      </c>
      <c r="G1082" s="1">
        <f t="shared" si="17"/>
        <v>8.881710090955721</v>
      </c>
    </row>
    <row r="1083" spans="6:7" ht="12.75">
      <c r="F1083">
        <v>1082</v>
      </c>
      <c r="G1083" s="1">
        <f t="shared" si="17"/>
        <v>8.884881343692541</v>
      </c>
    </row>
    <row r="1084" spans="6:7" ht="12.75">
      <c r="F1084">
        <v>1083</v>
      </c>
      <c r="G1084" s="1">
        <f t="shared" si="17"/>
        <v>8.888033296929962</v>
      </c>
    </row>
    <row r="1085" spans="6:7" ht="12.75">
      <c r="F1085">
        <v>1084</v>
      </c>
      <c r="G1085" s="1">
        <f t="shared" si="17"/>
        <v>8.891163462778422</v>
      </c>
    </row>
    <row r="1086" spans="6:7" ht="12.75">
      <c r="F1086">
        <v>1085</v>
      </c>
      <c r="G1086" s="1">
        <f t="shared" si="17"/>
        <v>8.894267922836889</v>
      </c>
    </row>
    <row r="1087" spans="6:7" ht="12.75">
      <c r="F1087">
        <v>1086</v>
      </c>
      <c r="G1087" s="1">
        <f t="shared" si="17"/>
        <v>8.8973441892158</v>
      </c>
    </row>
    <row r="1088" spans="6:7" ht="12.75">
      <c r="F1088">
        <v>1087</v>
      </c>
      <c r="G1088" s="1">
        <f t="shared" si="17"/>
        <v>8.900389535607019</v>
      </c>
    </row>
    <row r="1089" spans="6:7" ht="12.75">
      <c r="F1089">
        <v>1088</v>
      </c>
      <c r="G1089" s="1">
        <f t="shared" si="17"/>
        <v>8.903400520446667</v>
      </c>
    </row>
    <row r="1090" spans="6:7" ht="12.75">
      <c r="F1090">
        <v>1089</v>
      </c>
      <c r="G1090" s="1">
        <f t="shared" si="17"/>
        <v>8.906374655845184</v>
      </c>
    </row>
    <row r="1091" spans="6:7" ht="12.75">
      <c r="F1091">
        <v>1090</v>
      </c>
      <c r="G1091" s="1">
        <f aca="true" t="shared" si="18" ref="G1091:G1154">cubic_spline($A$2:$A$24,$B$2:$B$24,F1091)</f>
        <v>8.909308500238694</v>
      </c>
    </row>
    <row r="1092" spans="6:7" ht="12.75">
      <c r="F1092">
        <v>1091</v>
      </c>
      <c r="G1092" s="1">
        <f t="shared" si="18"/>
        <v>8.912199565737637</v>
      </c>
    </row>
    <row r="1093" spans="6:7" ht="12.75">
      <c r="F1093">
        <v>1092</v>
      </c>
      <c r="G1093" s="1">
        <f t="shared" si="18"/>
        <v>8.915044649196716</v>
      </c>
    </row>
    <row r="1094" spans="6:7" ht="12.75">
      <c r="F1094">
        <v>1093</v>
      </c>
      <c r="G1094" s="1">
        <f t="shared" si="18"/>
        <v>8.917840547470632</v>
      </c>
    </row>
    <row r="1095" spans="6:7" ht="12.75">
      <c r="F1095">
        <v>1094</v>
      </c>
      <c r="G1095" s="1">
        <f t="shared" si="18"/>
        <v>8.920584772669827</v>
      </c>
    </row>
    <row r="1096" spans="6:7" ht="12.75">
      <c r="F1096">
        <v>1095</v>
      </c>
      <c r="G1096" s="1">
        <f t="shared" si="18"/>
        <v>8.923273883230422</v>
      </c>
    </row>
    <row r="1097" spans="6:7" ht="12.75">
      <c r="F1097">
        <v>1096</v>
      </c>
      <c r="G1097" s="1">
        <f t="shared" si="18"/>
        <v>8.925905391262859</v>
      </c>
    </row>
    <row r="1098" spans="6:7" ht="12.75">
      <c r="F1098">
        <v>1097</v>
      </c>
      <c r="G1098" s="1">
        <f t="shared" si="18"/>
        <v>8.92847585520326</v>
      </c>
    </row>
    <row r="1099" spans="6:7" ht="12.75">
      <c r="F1099">
        <v>1098</v>
      </c>
      <c r="G1099" s="1">
        <f t="shared" si="18"/>
        <v>8.930982787162066</v>
      </c>
    </row>
    <row r="1100" spans="6:7" ht="12.75">
      <c r="F1100">
        <v>1099</v>
      </c>
      <c r="G1100" s="1">
        <f t="shared" si="18"/>
        <v>8.933422983993978</v>
      </c>
    </row>
    <row r="1101" spans="6:7" ht="12.75">
      <c r="F1101">
        <v>1100</v>
      </c>
      <c r="G1101" s="1">
        <f t="shared" si="18"/>
        <v>8.9357932425537</v>
      </c>
    </row>
    <row r="1102" spans="6:7" ht="12.75">
      <c r="F1102">
        <v>1101</v>
      </c>
      <c r="G1102" s="1">
        <f t="shared" si="18"/>
        <v>8.938090955742382</v>
      </c>
    </row>
    <row r="1103" spans="6:7" ht="12.75">
      <c r="F1103">
        <v>1102</v>
      </c>
      <c r="G1103" s="1">
        <f t="shared" si="18"/>
        <v>8.940313039624016</v>
      </c>
    </row>
    <row r="1104" spans="6:7" ht="12.75">
      <c r="F1104">
        <v>1103</v>
      </c>
      <c r="G1104" s="1">
        <f t="shared" si="18"/>
        <v>8.942456648681173</v>
      </c>
    </row>
    <row r="1105" spans="6:7" ht="12.75">
      <c r="F1105">
        <v>1104</v>
      </c>
      <c r="G1105" s="1">
        <f t="shared" si="18"/>
        <v>8.944518579768555</v>
      </c>
    </row>
    <row r="1106" spans="6:7" ht="12.75">
      <c r="F1106">
        <v>1105</v>
      </c>
      <c r="G1106" s="1">
        <f t="shared" si="18"/>
        <v>8.946495987368735</v>
      </c>
    </row>
    <row r="1107" spans="6:7" ht="12.75">
      <c r="F1107">
        <v>1106</v>
      </c>
      <c r="G1107" s="1">
        <f t="shared" si="18"/>
        <v>8.948385906754993</v>
      </c>
    </row>
    <row r="1108" spans="6:7" ht="12.75">
      <c r="F1108">
        <v>1107</v>
      </c>
      <c r="G1108" s="1">
        <f t="shared" si="18"/>
        <v>8.950185373200611</v>
      </c>
    </row>
    <row r="1109" spans="6:7" ht="12.75">
      <c r="F1109">
        <v>1108</v>
      </c>
      <c r="G1109" s="1">
        <f t="shared" si="18"/>
        <v>8.951891421978871</v>
      </c>
    </row>
    <row r="1110" spans="6:7" ht="12.75">
      <c r="F1110">
        <v>1109</v>
      </c>
      <c r="G1110" s="1">
        <f t="shared" si="18"/>
        <v>8.9535011479677</v>
      </c>
    </row>
    <row r="1111" spans="6:7" ht="12.75">
      <c r="F1111">
        <v>1110</v>
      </c>
      <c r="G1111" s="1">
        <f t="shared" si="18"/>
        <v>8.955011467231088</v>
      </c>
    </row>
    <row r="1112" spans="6:7" ht="12.75">
      <c r="F1112">
        <v>1111</v>
      </c>
      <c r="G1112" s="1">
        <f t="shared" si="18"/>
        <v>8.956419474646964</v>
      </c>
    </row>
    <row r="1113" spans="6:7" ht="12.75">
      <c r="F1113">
        <v>1112</v>
      </c>
      <c r="G1113" s="1">
        <f t="shared" si="18"/>
        <v>8.95772223529093</v>
      </c>
    </row>
    <row r="1114" spans="6:7" ht="12.75">
      <c r="F1114">
        <v>1113</v>
      </c>
      <c r="G1114" s="1">
        <f t="shared" si="18"/>
        <v>8.958916739732786</v>
      </c>
    </row>
    <row r="1115" spans="6:7" ht="12.75">
      <c r="F1115">
        <v>1114</v>
      </c>
      <c r="G1115" s="1">
        <f t="shared" si="18"/>
        <v>8.960000038146973</v>
      </c>
    </row>
    <row r="1116" spans="6:7" ht="12.75">
      <c r="F1116">
        <v>1115</v>
      </c>
      <c r="G1116" s="1">
        <f t="shared" si="18"/>
        <v>8.960970381392709</v>
      </c>
    </row>
    <row r="1117" spans="6:7" ht="12.75">
      <c r="F1117">
        <v>1116</v>
      </c>
      <c r="G1117" s="1">
        <f t="shared" si="18"/>
        <v>8.961827981472837</v>
      </c>
    </row>
    <row r="1118" spans="6:7" ht="12.75">
      <c r="F1118">
        <v>1117</v>
      </c>
      <c r="G1118" s="1">
        <f t="shared" si="18"/>
        <v>8.962577103456825</v>
      </c>
    </row>
    <row r="1119" spans="6:7" ht="12.75">
      <c r="F1119">
        <v>1118</v>
      </c>
      <c r="G1119" s="1">
        <f t="shared" si="18"/>
        <v>8.96321917506615</v>
      </c>
    </row>
    <row r="1120" spans="6:7" ht="12.75">
      <c r="F1120">
        <v>1119</v>
      </c>
      <c r="G1120" s="1">
        <f t="shared" si="18"/>
        <v>8.96375562244351</v>
      </c>
    </row>
    <row r="1121" spans="6:7" ht="12.75">
      <c r="F1121">
        <v>1120</v>
      </c>
      <c r="G1121" s="1">
        <f t="shared" si="18"/>
        <v>8.964190713026545</v>
      </c>
    </row>
    <row r="1122" spans="6:7" ht="12.75">
      <c r="F1122">
        <v>1121</v>
      </c>
      <c r="G1122" s="1">
        <f t="shared" si="18"/>
        <v>8.964525873342438</v>
      </c>
    </row>
    <row r="1123" spans="6:7" ht="12.75">
      <c r="F1123">
        <v>1122</v>
      </c>
      <c r="G1123" s="1">
        <f t="shared" si="18"/>
        <v>8.96476252842125</v>
      </c>
    </row>
    <row r="1124" spans="6:7" ht="12.75">
      <c r="F1124">
        <v>1123</v>
      </c>
      <c r="G1124" s="1">
        <f t="shared" si="18"/>
        <v>8.96490494794631</v>
      </c>
    </row>
    <row r="1125" spans="6:7" ht="12.75">
      <c r="F1125">
        <v>1124</v>
      </c>
      <c r="G1125" s="1">
        <f t="shared" si="18"/>
        <v>8.96495408047459</v>
      </c>
    </row>
    <row r="1126" spans="6:7" ht="12.75">
      <c r="F1126">
        <v>1125</v>
      </c>
      <c r="G1126" s="1">
        <f t="shared" si="18"/>
        <v>8.964912780496238</v>
      </c>
    </row>
    <row r="1127" spans="6:7" ht="12.75">
      <c r="F1127">
        <v>1126</v>
      </c>
      <c r="G1127" s="1">
        <f t="shared" si="18"/>
        <v>8.964783889306297</v>
      </c>
    </row>
    <row r="1128" spans="6:7" ht="12.75">
      <c r="F1128">
        <v>1127</v>
      </c>
      <c r="G1128" s="1">
        <f t="shared" si="18"/>
        <v>8.964568831227101</v>
      </c>
    </row>
    <row r="1129" spans="6:7" ht="12.75">
      <c r="F1129">
        <v>1128</v>
      </c>
      <c r="G1129" s="1">
        <f t="shared" si="18"/>
        <v>8.964270459758648</v>
      </c>
    </row>
    <row r="1130" spans="6:7" ht="12.75">
      <c r="F1130">
        <v>1129</v>
      </c>
      <c r="G1130" s="1">
        <f t="shared" si="18"/>
        <v>8.963891618196687</v>
      </c>
    </row>
    <row r="1131" spans="6:7" ht="12.75">
      <c r="F1131">
        <v>1130</v>
      </c>
      <c r="G1131" s="1">
        <f t="shared" si="18"/>
        <v>8.963433729852987</v>
      </c>
    </row>
    <row r="1132" spans="6:7" ht="12.75">
      <c r="F1132">
        <v>1131</v>
      </c>
      <c r="G1132" s="1">
        <f t="shared" si="18"/>
        <v>8.96289964729866</v>
      </c>
    </row>
    <row r="1133" spans="6:7" ht="12.75">
      <c r="F1133">
        <v>1132</v>
      </c>
      <c r="G1133" s="1">
        <f t="shared" si="18"/>
        <v>8.962291738870496</v>
      </c>
    </row>
    <row r="1134" spans="6:7" ht="12.75">
      <c r="F1134">
        <v>1133</v>
      </c>
      <c r="G1134" s="1">
        <f t="shared" si="18"/>
        <v>8.961612857442432</v>
      </c>
    </row>
    <row r="1135" spans="6:7" ht="12.75">
      <c r="F1135">
        <v>1134</v>
      </c>
      <c r="G1135" s="1">
        <f t="shared" si="18"/>
        <v>8.960864424206449</v>
      </c>
    </row>
    <row r="1136" spans="6:7" ht="12.75">
      <c r="F1136">
        <v>1135</v>
      </c>
      <c r="G1136" s="1">
        <f t="shared" si="18"/>
        <v>8.960049286092218</v>
      </c>
    </row>
    <row r="1137" spans="6:7" ht="12.75">
      <c r="F1137">
        <v>1136</v>
      </c>
      <c r="G1137" s="1">
        <f t="shared" si="18"/>
        <v>8.95917029508561</v>
      </c>
    </row>
    <row r="1138" spans="6:7" ht="12.75">
      <c r="F1138">
        <v>1137</v>
      </c>
      <c r="G1138" s="1">
        <f t="shared" si="18"/>
        <v>8.958228871572194</v>
      </c>
    </row>
    <row r="1139" spans="6:7" ht="12.75">
      <c r="F1139">
        <v>1138</v>
      </c>
      <c r="G1139" s="1">
        <f t="shared" si="18"/>
        <v>8.957227864114873</v>
      </c>
    </row>
    <row r="1140" spans="6:7" ht="12.75">
      <c r="F1140">
        <v>1139</v>
      </c>
      <c r="G1140" s="1">
        <f t="shared" si="18"/>
        <v>8.956170123872695</v>
      </c>
    </row>
    <row r="1141" spans="6:7" ht="12.75">
      <c r="F1141">
        <v>1140</v>
      </c>
      <c r="G1141" s="1">
        <f t="shared" si="18"/>
        <v>8.955057070486076</v>
      </c>
    </row>
    <row r="1142" spans="6:7" ht="12.75">
      <c r="F1142">
        <v>1141</v>
      </c>
      <c r="G1142" s="1">
        <f t="shared" si="18"/>
        <v>8.953891554028642</v>
      </c>
    </row>
    <row r="1143" spans="6:7" ht="12.75">
      <c r="F1143">
        <v>1142</v>
      </c>
      <c r="G1143" s="1">
        <f t="shared" si="18"/>
        <v>8.952676424893871</v>
      </c>
    </row>
    <row r="1144" spans="6:7" ht="12.75">
      <c r="F1144">
        <v>1143</v>
      </c>
      <c r="G1144" s="1">
        <f t="shared" si="18"/>
        <v>8.951412625201108</v>
      </c>
    </row>
    <row r="1145" spans="6:7" ht="12.75">
      <c r="F1145">
        <v>1144</v>
      </c>
      <c r="G1145" s="1">
        <f t="shared" si="18"/>
        <v>8.950104436923699</v>
      </c>
    </row>
    <row r="1146" spans="6:7" ht="12.75">
      <c r="F1146">
        <v>1145</v>
      </c>
      <c r="G1146" s="1">
        <f t="shared" si="18"/>
        <v>8.948753279239313</v>
      </c>
    </row>
    <row r="1147" spans="6:7" ht="12.75">
      <c r="F1147">
        <v>1146</v>
      </c>
      <c r="G1147" s="1">
        <f t="shared" si="18"/>
        <v>8.947361047998323</v>
      </c>
    </row>
    <row r="1148" spans="6:7" ht="12.75">
      <c r="F1148">
        <v>1147</v>
      </c>
      <c r="G1148" s="1">
        <f t="shared" si="18"/>
        <v>8.945930593890223</v>
      </c>
    </row>
    <row r="1149" spans="6:7" ht="12.75">
      <c r="F1149">
        <v>1148</v>
      </c>
      <c r="G1149" s="1">
        <f t="shared" si="18"/>
        <v>8.944464767999198</v>
      </c>
    </row>
    <row r="1150" spans="6:7" ht="12.75">
      <c r="F1150">
        <v>1149</v>
      </c>
      <c r="G1150" s="1">
        <f t="shared" si="18"/>
        <v>8.94296498837838</v>
      </c>
    </row>
    <row r="1151" spans="6:7" ht="12.75">
      <c r="F1151">
        <v>1150</v>
      </c>
      <c r="G1151" s="1">
        <f t="shared" si="18"/>
        <v>8.941434106018388</v>
      </c>
    </row>
    <row r="1152" spans="6:7" ht="12.75">
      <c r="F1152">
        <v>1151</v>
      </c>
      <c r="G1152" s="1">
        <f t="shared" si="18"/>
        <v>8.939874733845127</v>
      </c>
    </row>
    <row r="1153" spans="6:7" ht="12.75">
      <c r="F1153">
        <v>1152</v>
      </c>
      <c r="G1153" s="1">
        <f t="shared" si="18"/>
        <v>8.93828900463666</v>
      </c>
    </row>
    <row r="1154" spans="6:7" ht="12.75">
      <c r="F1154">
        <v>1153</v>
      </c>
      <c r="G1154" s="1">
        <f t="shared" si="18"/>
        <v>8.936679054398375</v>
      </c>
    </row>
    <row r="1155" spans="6:7" ht="12.75">
      <c r="F1155">
        <v>1154</v>
      </c>
      <c r="G1155" s="1">
        <f aca="true" t="shared" si="19" ref="G1155:G1218">cubic_spline($A$2:$A$24,$B$2:$B$24,F1155)</f>
        <v>8.93504773470443</v>
      </c>
    </row>
    <row r="1156" spans="6:7" ht="12.75">
      <c r="F1156">
        <v>1155</v>
      </c>
      <c r="G1156" s="1">
        <f t="shared" si="19"/>
        <v>8.93339693944476</v>
      </c>
    </row>
    <row r="1157" spans="6:7" ht="12.75">
      <c r="F1157">
        <v>1156</v>
      </c>
      <c r="G1157" s="1">
        <f t="shared" si="19"/>
        <v>8.931729520120363</v>
      </c>
    </row>
    <row r="1158" spans="6:7" ht="12.75">
      <c r="F1158">
        <v>1157</v>
      </c>
      <c r="G1158" s="1">
        <f t="shared" si="19"/>
        <v>8.930047613248712</v>
      </c>
    </row>
    <row r="1159" spans="6:7" ht="12.75">
      <c r="F1159">
        <v>1158</v>
      </c>
      <c r="G1159" s="1">
        <f t="shared" si="19"/>
        <v>8.928353350730013</v>
      </c>
    </row>
    <row r="1160" spans="6:7" ht="12.75">
      <c r="F1160">
        <v>1159</v>
      </c>
      <c r="G1160" s="1">
        <f t="shared" si="19"/>
        <v>8.926649345855948</v>
      </c>
    </row>
    <row r="1161" spans="6:7" ht="12.75">
      <c r="F1161">
        <v>1160</v>
      </c>
      <c r="G1161" s="1">
        <f t="shared" si="19"/>
        <v>8.924938450568147</v>
      </c>
    </row>
    <row r="1162" spans="6:7" ht="12.75">
      <c r="F1162">
        <v>1161</v>
      </c>
      <c r="G1162" s="1">
        <f t="shared" si="19"/>
        <v>8.923222081164022</v>
      </c>
    </row>
    <row r="1163" spans="6:7" ht="12.75">
      <c r="F1163">
        <v>1162</v>
      </c>
      <c r="G1163" s="1">
        <f t="shared" si="19"/>
        <v>8.921503328862363</v>
      </c>
    </row>
    <row r="1164" spans="6:7" ht="12.75">
      <c r="F1164">
        <v>1163</v>
      </c>
      <c r="G1164" s="1">
        <f t="shared" si="19"/>
        <v>8.919784208543627</v>
      </c>
    </row>
    <row r="1165" spans="6:7" ht="12.75">
      <c r="F1165">
        <v>1164</v>
      </c>
      <c r="G1165" s="1">
        <f t="shared" si="19"/>
        <v>8.918067211836963</v>
      </c>
    </row>
    <row r="1166" spans="6:7" ht="12.75">
      <c r="F1166">
        <v>1165</v>
      </c>
      <c r="G1166" s="1">
        <f t="shared" si="19"/>
        <v>8.916354714000818</v>
      </c>
    </row>
    <row r="1167" spans="6:7" ht="12.75">
      <c r="F1167">
        <v>1166</v>
      </c>
      <c r="G1167" s="1">
        <f t="shared" si="19"/>
        <v>8.914649206683901</v>
      </c>
    </row>
    <row r="1168" spans="6:7" ht="12.75">
      <c r="F1168">
        <v>1167</v>
      </c>
      <c r="G1168" s="1">
        <f t="shared" si="19"/>
        <v>8.912952704629724</v>
      </c>
    </row>
    <row r="1169" spans="6:7" ht="12.75">
      <c r="F1169">
        <v>1168</v>
      </c>
      <c r="G1169" s="1">
        <f t="shared" si="19"/>
        <v>8.91126806003596</v>
      </c>
    </row>
    <row r="1170" spans="6:7" ht="12.75">
      <c r="F1170">
        <v>1169</v>
      </c>
      <c r="G1170" s="1">
        <f t="shared" si="19"/>
        <v>8.90959734726522</v>
      </c>
    </row>
    <row r="1171" spans="6:7" ht="12.75">
      <c r="F1171">
        <v>1170</v>
      </c>
      <c r="G1171" s="1">
        <f t="shared" si="19"/>
        <v>8.90794293917261</v>
      </c>
    </row>
    <row r="1172" spans="6:7" ht="12.75">
      <c r="F1172">
        <v>1171</v>
      </c>
      <c r="G1172" s="1">
        <f t="shared" si="19"/>
        <v>8.906307269244033</v>
      </c>
    </row>
    <row r="1173" spans="6:7" ht="12.75">
      <c r="F1173">
        <v>1172</v>
      </c>
      <c r="G1173" s="1">
        <f t="shared" si="19"/>
        <v>8.904692800784725</v>
      </c>
    </row>
    <row r="1174" spans="6:7" ht="12.75">
      <c r="F1174">
        <v>1173</v>
      </c>
      <c r="G1174" s="1">
        <f t="shared" si="19"/>
        <v>8.903101727310023</v>
      </c>
    </row>
    <row r="1175" spans="6:7" ht="12.75">
      <c r="F1175">
        <v>1174</v>
      </c>
      <c r="G1175" s="1">
        <f t="shared" si="19"/>
        <v>8.901536557089221</v>
      </c>
    </row>
    <row r="1176" spans="6:7" ht="12.75">
      <c r="F1176">
        <v>1175</v>
      </c>
      <c r="G1176" s="1">
        <f t="shared" si="19"/>
        <v>8.899999618530273</v>
      </c>
    </row>
    <row r="1177" spans="6:7" ht="12.75">
      <c r="F1177">
        <v>1176</v>
      </c>
      <c r="G1177" s="1">
        <f t="shared" si="19"/>
        <v>8.898493132608262</v>
      </c>
    </row>
    <row r="1178" spans="6:7" ht="12.75">
      <c r="F1178">
        <v>1177</v>
      </c>
      <c r="G1178" s="1">
        <f t="shared" si="19"/>
        <v>8.89701614230652</v>
      </c>
    </row>
    <row r="1179" spans="6:7" ht="12.75">
      <c r="F1179">
        <v>1178</v>
      </c>
      <c r="G1179" s="1">
        <f t="shared" si="19"/>
        <v>8.895570399109076</v>
      </c>
    </row>
    <row r="1180" spans="6:7" ht="12.75">
      <c r="F1180">
        <v>1179</v>
      </c>
      <c r="G1180" s="1">
        <f t="shared" si="19"/>
        <v>8.894154829671624</v>
      </c>
    </row>
    <row r="1181" spans="6:7" ht="12.75">
      <c r="F1181">
        <v>1180</v>
      </c>
      <c r="G1181" s="1">
        <f t="shared" si="19"/>
        <v>8.892769205292511</v>
      </c>
    </row>
    <row r="1182" spans="6:7" ht="12.75">
      <c r="F1182">
        <v>1181</v>
      </c>
      <c r="G1182" s="1">
        <f t="shared" si="19"/>
        <v>8.891412453077097</v>
      </c>
    </row>
    <row r="1183" spans="6:7" ht="12.75">
      <c r="F1183">
        <v>1182</v>
      </c>
      <c r="G1183" s="1">
        <f t="shared" si="19"/>
        <v>8.890086324509411</v>
      </c>
    </row>
    <row r="1184" spans="6:7" ht="12.75">
      <c r="F1184">
        <v>1183</v>
      </c>
      <c r="G1184" s="1">
        <f t="shared" si="19"/>
        <v>8.888789710050544</v>
      </c>
    </row>
    <row r="1185" spans="6:7" ht="12.75">
      <c r="F1185">
        <v>1184</v>
      </c>
      <c r="G1185" s="1">
        <f t="shared" si="19"/>
        <v>8.88752150016158</v>
      </c>
    </row>
    <row r="1186" spans="6:7" ht="12.75">
      <c r="F1186">
        <v>1185</v>
      </c>
      <c r="G1186" s="1">
        <f t="shared" si="19"/>
        <v>8.88628344632655</v>
      </c>
    </row>
    <row r="1187" spans="6:7" ht="12.75">
      <c r="F1187">
        <v>1186</v>
      </c>
      <c r="G1187" s="1">
        <f t="shared" si="19"/>
        <v>8.885073485332226</v>
      </c>
    </row>
    <row r="1188" spans="6:7" ht="12.75">
      <c r="F1188">
        <v>1187</v>
      </c>
      <c r="G1188" s="1">
        <f t="shared" si="19"/>
        <v>8.883894354999905</v>
      </c>
    </row>
    <row r="1189" spans="6:7" ht="12.75">
      <c r="F1189">
        <v>1188</v>
      </c>
      <c r="G1189" s="1">
        <f t="shared" si="19"/>
        <v>8.88274201900858</v>
      </c>
    </row>
    <row r="1190" spans="6:7" ht="12.75">
      <c r="F1190">
        <v>1189</v>
      </c>
      <c r="G1190" s="1">
        <f t="shared" si="19"/>
        <v>8.88161921561462</v>
      </c>
    </row>
    <row r="1191" spans="6:7" ht="12.75">
      <c r="F1191">
        <v>1190</v>
      </c>
      <c r="G1191" s="1">
        <f t="shared" si="19"/>
        <v>8.880523881604795</v>
      </c>
    </row>
    <row r="1192" spans="6:7" ht="12.75">
      <c r="F1192">
        <v>1191</v>
      </c>
      <c r="G1192" s="1">
        <f t="shared" si="19"/>
        <v>8.87945776846314</v>
      </c>
    </row>
    <row r="1193" spans="6:7" ht="12.75">
      <c r="F1193">
        <v>1192</v>
      </c>
      <c r="G1193" s="1">
        <f t="shared" si="19"/>
        <v>8.87841976665074</v>
      </c>
    </row>
    <row r="1194" spans="6:7" ht="12.75">
      <c r="F1194">
        <v>1193</v>
      </c>
      <c r="G1194" s="1">
        <f t="shared" si="19"/>
        <v>8.877408766628681</v>
      </c>
    </row>
    <row r="1195" spans="6:7" ht="12.75">
      <c r="F1195">
        <v>1194</v>
      </c>
      <c r="G1195" s="1">
        <f t="shared" si="19"/>
        <v>8.876426549549517</v>
      </c>
    </row>
    <row r="1196" spans="6:7" ht="12.75">
      <c r="F1196">
        <v>1195</v>
      </c>
      <c r="G1196" s="1">
        <f t="shared" si="19"/>
        <v>8.875471946116813</v>
      </c>
    </row>
    <row r="1197" spans="6:7" ht="12.75">
      <c r="F1197">
        <v>1196</v>
      </c>
      <c r="G1197" s="1">
        <f t="shared" si="19"/>
        <v>8.874544830556792</v>
      </c>
    </row>
    <row r="1198" spans="6:7" ht="12.75">
      <c r="F1198">
        <v>1197</v>
      </c>
      <c r="G1198" s="1">
        <f t="shared" si="19"/>
        <v>8.873644093330542</v>
      </c>
    </row>
    <row r="1199" spans="6:7" ht="12.75">
      <c r="F1199">
        <v>1198</v>
      </c>
      <c r="G1199" s="1">
        <f t="shared" si="19"/>
        <v>8.872771485922097</v>
      </c>
    </row>
    <row r="1200" spans="6:7" ht="12.75">
      <c r="F1200">
        <v>1199</v>
      </c>
      <c r="G1200" s="1">
        <f t="shared" si="19"/>
        <v>8.871925898792542</v>
      </c>
    </row>
    <row r="1201" spans="6:7" ht="12.75">
      <c r="F1201">
        <v>1200</v>
      </c>
      <c r="G1201" s="1">
        <f t="shared" si="19"/>
        <v>8.871106222402963</v>
      </c>
    </row>
    <row r="1202" spans="6:7" ht="12.75">
      <c r="F1202">
        <v>1201</v>
      </c>
      <c r="G1202" s="1">
        <f t="shared" si="19"/>
        <v>8.870314711838029</v>
      </c>
    </row>
    <row r="1203" spans="6:7" ht="12.75">
      <c r="F1203">
        <v>1202</v>
      </c>
      <c r="G1203" s="1">
        <f t="shared" si="19"/>
        <v>8.869548773112687</v>
      </c>
    </row>
    <row r="1204" spans="6:7" ht="12.75">
      <c r="F1204">
        <v>1203</v>
      </c>
      <c r="G1204" s="1">
        <f t="shared" si="19"/>
        <v>8.868809231209662</v>
      </c>
    </row>
    <row r="1205" spans="6:7" ht="12.75">
      <c r="F1205">
        <v>1204</v>
      </c>
      <c r="G1205" s="1">
        <f t="shared" si="19"/>
        <v>8.86809593026436</v>
      </c>
    </row>
    <row r="1206" spans="6:7" ht="12.75">
      <c r="F1206">
        <v>1205</v>
      </c>
      <c r="G1206" s="1">
        <f t="shared" si="19"/>
        <v>8.86740919124934</v>
      </c>
    </row>
    <row r="1207" spans="6:7" ht="12.75">
      <c r="F1207">
        <v>1206</v>
      </c>
      <c r="G1207" s="1">
        <f t="shared" si="19"/>
        <v>8.866747904625688</v>
      </c>
    </row>
    <row r="1208" spans="6:7" ht="12.75">
      <c r="F1208">
        <v>1207</v>
      </c>
      <c r="G1208" s="1">
        <f t="shared" si="19"/>
        <v>8.866112391365963</v>
      </c>
    </row>
    <row r="1209" spans="6:7" ht="12.75">
      <c r="F1209">
        <v>1208</v>
      </c>
      <c r="G1209" s="1">
        <f t="shared" si="19"/>
        <v>8.865502495605565</v>
      </c>
    </row>
    <row r="1210" spans="6:7" ht="12.75">
      <c r="F1210">
        <v>1209</v>
      </c>
      <c r="G1210" s="1">
        <f t="shared" si="19"/>
        <v>8.864919038707097</v>
      </c>
    </row>
    <row r="1211" spans="6:7" ht="12.75">
      <c r="F1211">
        <v>1210</v>
      </c>
      <c r="G1211" s="1">
        <f t="shared" si="19"/>
        <v>8.864359909958443</v>
      </c>
    </row>
    <row r="1212" spans="6:7" ht="12.75">
      <c r="F1212">
        <v>1211</v>
      </c>
      <c r="G1212" s="1">
        <f t="shared" si="19"/>
        <v>8.863825931117148</v>
      </c>
    </row>
    <row r="1213" spans="6:7" ht="12.75">
      <c r="F1213">
        <v>1212</v>
      </c>
      <c r="G1213" s="1">
        <f t="shared" si="19"/>
        <v>8.86331694631861</v>
      </c>
    </row>
    <row r="1214" spans="6:7" ht="12.75">
      <c r="F1214">
        <v>1213</v>
      </c>
      <c r="G1214" s="1">
        <f t="shared" si="19"/>
        <v>8.86283327653539</v>
      </c>
    </row>
    <row r="1215" spans="6:7" ht="12.75">
      <c r="F1215">
        <v>1214</v>
      </c>
      <c r="G1215" s="1">
        <f t="shared" si="19"/>
        <v>8.862373812228578</v>
      </c>
    </row>
    <row r="1216" spans="6:7" ht="12.75">
      <c r="F1216">
        <v>1215</v>
      </c>
      <c r="G1216" s="1">
        <f t="shared" si="19"/>
        <v>8.861938874370725</v>
      </c>
    </row>
    <row r="1217" spans="6:7" ht="12.75">
      <c r="F1217">
        <v>1216</v>
      </c>
      <c r="G1217" s="1">
        <f t="shared" si="19"/>
        <v>8.861529281610938</v>
      </c>
    </row>
    <row r="1218" spans="6:7" ht="12.75">
      <c r="F1218">
        <v>1217</v>
      </c>
      <c r="G1218" s="1">
        <f t="shared" si="19"/>
        <v>8.86114292867687</v>
      </c>
    </row>
    <row r="1219" spans="6:7" ht="12.75">
      <c r="F1219">
        <v>1218</v>
      </c>
      <c r="G1219" s="1">
        <f aca="true" t="shared" si="20" ref="G1219:G1282">cubic_spline($A$2:$A$24,$B$2:$B$24,F1219)</f>
        <v>8.860780634599795</v>
      </c>
    </row>
    <row r="1220" spans="6:7" ht="12.75">
      <c r="F1220">
        <v>1219</v>
      </c>
      <c r="G1220" s="1">
        <f t="shared" si="20"/>
        <v>8.860442243515115</v>
      </c>
    </row>
    <row r="1221" spans="6:7" ht="12.75">
      <c r="F1221">
        <v>1220</v>
      </c>
      <c r="G1221" s="1">
        <f t="shared" si="20"/>
        <v>8.860128076395387</v>
      </c>
    </row>
    <row r="1222" spans="6:7" ht="12.75">
      <c r="F1222">
        <v>1221</v>
      </c>
      <c r="G1222" s="1">
        <f t="shared" si="20"/>
        <v>8.859837023701699</v>
      </c>
    </row>
    <row r="1223" spans="6:7" ht="12.75">
      <c r="F1223">
        <v>1222</v>
      </c>
      <c r="G1223" s="1">
        <f t="shared" si="20"/>
        <v>8.859569406406608</v>
      </c>
    </row>
    <row r="1224" spans="6:7" ht="12.75">
      <c r="F1224">
        <v>1223</v>
      </c>
      <c r="G1224" s="1">
        <f t="shared" si="20"/>
        <v>8.859325563697945</v>
      </c>
    </row>
    <row r="1225" spans="6:7" ht="12.75">
      <c r="F1225">
        <v>1224</v>
      </c>
      <c r="G1225" s="1">
        <f t="shared" si="20"/>
        <v>8.859104826075837</v>
      </c>
    </row>
    <row r="1226" spans="6:7" ht="12.75">
      <c r="F1226">
        <v>1225</v>
      </c>
      <c r="G1226" s="1">
        <f t="shared" si="20"/>
        <v>8.8589065794232</v>
      </c>
    </row>
    <row r="1227" spans="6:7" ht="12.75">
      <c r="F1227">
        <v>1226</v>
      </c>
      <c r="G1227" s="1">
        <f t="shared" si="20"/>
        <v>8.858731144712591</v>
      </c>
    </row>
    <row r="1228" spans="6:7" ht="12.75">
      <c r="F1228">
        <v>1227</v>
      </c>
      <c r="G1228" s="1">
        <f t="shared" si="20"/>
        <v>8.858578366079412</v>
      </c>
    </row>
    <row r="1229" spans="6:7" ht="12.75">
      <c r="F1229">
        <v>1228</v>
      </c>
      <c r="G1229" s="1">
        <f t="shared" si="20"/>
        <v>8.858448564496225</v>
      </c>
    </row>
    <row r="1230" spans="6:7" ht="12.75">
      <c r="F1230">
        <v>1229</v>
      </c>
      <c r="G1230" s="1">
        <f t="shared" si="20"/>
        <v>8.858340630424111</v>
      </c>
    </row>
    <row r="1231" spans="6:7" ht="12.75">
      <c r="F1231">
        <v>1230</v>
      </c>
      <c r="G1231" s="1">
        <f t="shared" si="20"/>
        <v>8.858254884835635</v>
      </c>
    </row>
    <row r="1232" spans="6:7" ht="12.75">
      <c r="F1232">
        <v>1231</v>
      </c>
      <c r="G1232" s="1">
        <f t="shared" si="20"/>
        <v>8.858191664029082</v>
      </c>
    </row>
    <row r="1233" spans="6:7" ht="12.75">
      <c r="F1233">
        <v>1232</v>
      </c>
      <c r="G1233" s="1">
        <f t="shared" si="20"/>
        <v>8.858150304298256</v>
      </c>
    </row>
    <row r="1234" spans="6:7" ht="12.75">
      <c r="F1234">
        <v>1233</v>
      </c>
      <c r="G1234" s="1">
        <f t="shared" si="20"/>
        <v>8.858130188621933</v>
      </c>
    </row>
    <row r="1235" spans="6:7" ht="12.75">
      <c r="F1235">
        <v>1234</v>
      </c>
      <c r="G1235" s="1">
        <f t="shared" si="20"/>
        <v>8.858131637972678</v>
      </c>
    </row>
    <row r="1236" spans="6:7" ht="12.75">
      <c r="F1236">
        <v>1235</v>
      </c>
      <c r="G1236" s="1">
        <f t="shared" si="20"/>
        <v>8.85815449648589</v>
      </c>
    </row>
    <row r="1237" spans="6:7" ht="12.75">
      <c r="F1237">
        <v>1236</v>
      </c>
      <c r="G1237" s="1">
        <f t="shared" si="20"/>
        <v>8.858199085134126</v>
      </c>
    </row>
    <row r="1238" spans="6:7" ht="12.75">
      <c r="F1238">
        <v>1237</v>
      </c>
      <c r="G1238" s="1">
        <f t="shared" si="20"/>
        <v>8.858264294378477</v>
      </c>
    </row>
    <row r="1239" spans="6:7" ht="12.75">
      <c r="F1239">
        <v>1238</v>
      </c>
      <c r="G1239" s="1">
        <f t="shared" si="20"/>
        <v>8.858350934921814</v>
      </c>
    </row>
    <row r="1240" spans="6:7" ht="12.75">
      <c r="F1240">
        <v>1239</v>
      </c>
      <c r="G1240" s="1">
        <f t="shared" si="20"/>
        <v>8.858457871098699</v>
      </c>
    </row>
    <row r="1241" spans="6:7" ht="12.75">
      <c r="F1241">
        <v>1240</v>
      </c>
      <c r="G1241" s="1">
        <f t="shared" si="20"/>
        <v>8.858585913954036</v>
      </c>
    </row>
    <row r="1242" spans="6:7" ht="12.75">
      <c r="F1242">
        <v>1241</v>
      </c>
      <c r="G1242" s="1">
        <f t="shared" si="20"/>
        <v>8.858733953948917</v>
      </c>
    </row>
    <row r="1243" spans="6:7" ht="12.75">
      <c r="F1243">
        <v>1242</v>
      </c>
      <c r="G1243" s="1">
        <f t="shared" si="20"/>
        <v>8.858902312055903</v>
      </c>
    </row>
    <row r="1244" spans="6:7" ht="12.75">
      <c r="F1244">
        <v>1243</v>
      </c>
      <c r="G1244" s="1">
        <f t="shared" si="20"/>
        <v>8.859090832410391</v>
      </c>
    </row>
    <row r="1245" spans="6:7" ht="12.75">
      <c r="F1245">
        <v>1244</v>
      </c>
      <c r="G1245" s="1">
        <f t="shared" si="20"/>
        <v>8.859299835984944</v>
      </c>
    </row>
    <row r="1246" spans="6:7" ht="12.75">
      <c r="F1246">
        <v>1245</v>
      </c>
      <c r="G1246" s="1">
        <f t="shared" si="20"/>
        <v>8.859528700627772</v>
      </c>
    </row>
    <row r="1247" spans="6:7" ht="12.75">
      <c r="F1247">
        <v>1246</v>
      </c>
      <c r="G1247" s="1">
        <f t="shared" si="20"/>
        <v>8.859776772209734</v>
      </c>
    </row>
    <row r="1248" spans="6:7" ht="12.75">
      <c r="F1248">
        <v>1247</v>
      </c>
      <c r="G1248" s="1">
        <f t="shared" si="20"/>
        <v>8.860044382582636</v>
      </c>
    </row>
    <row r="1249" spans="6:7" ht="12.75">
      <c r="F1249">
        <v>1248</v>
      </c>
      <c r="G1249" s="1">
        <f t="shared" si="20"/>
        <v>8.86033185271903</v>
      </c>
    </row>
    <row r="1250" spans="6:7" ht="12.75">
      <c r="F1250">
        <v>1249</v>
      </c>
      <c r="G1250" s="1">
        <f t="shared" si="20"/>
        <v>8.860638073080002</v>
      </c>
    </row>
    <row r="1251" spans="6:7" ht="12.75">
      <c r="F1251">
        <v>1250</v>
      </c>
      <c r="G1251" s="1">
        <f t="shared" si="20"/>
        <v>8.860963364638113</v>
      </c>
    </row>
    <row r="1252" spans="6:7" ht="12.75">
      <c r="F1252">
        <v>1251</v>
      </c>
      <c r="G1252" s="1">
        <f t="shared" si="20"/>
        <v>8.861307571528767</v>
      </c>
    </row>
    <row r="1253" spans="6:7" ht="12.75">
      <c r="F1253">
        <v>1252</v>
      </c>
      <c r="G1253" s="1">
        <f t="shared" si="20"/>
        <v>8.86167101472452</v>
      </c>
    </row>
    <row r="1254" spans="6:7" ht="12.75">
      <c r="F1254">
        <v>1253</v>
      </c>
      <c r="G1254" s="1">
        <f t="shared" si="20"/>
        <v>8.86205306950511</v>
      </c>
    </row>
    <row r="1255" spans="6:7" ht="12.75">
      <c r="F1255">
        <v>1254</v>
      </c>
      <c r="G1255" s="1">
        <f t="shared" si="20"/>
        <v>8.862453086892943</v>
      </c>
    </row>
    <row r="1256" spans="6:7" ht="12.75">
      <c r="F1256">
        <v>1255</v>
      </c>
      <c r="G1256" s="1">
        <f t="shared" si="20"/>
        <v>8.862871396156745</v>
      </c>
    </row>
    <row r="1257" spans="6:7" ht="12.75">
      <c r="F1257">
        <v>1256</v>
      </c>
      <c r="G1257" s="1">
        <f t="shared" si="20"/>
        <v>8.863308318269082</v>
      </c>
    </row>
    <row r="1258" spans="6:7" ht="12.75">
      <c r="F1258">
        <v>1257</v>
      </c>
      <c r="G1258" s="1">
        <f t="shared" si="20"/>
        <v>8.863762743691034</v>
      </c>
    </row>
    <row r="1259" spans="6:7" ht="12.75">
      <c r="F1259">
        <v>1258</v>
      </c>
      <c r="G1259" s="1">
        <f t="shared" si="20"/>
        <v>8.86423499339516</v>
      </c>
    </row>
    <row r="1260" spans="6:7" ht="12.75">
      <c r="F1260">
        <v>1259</v>
      </c>
      <c r="G1260" s="1">
        <f t="shared" si="20"/>
        <v>8.864724911516864</v>
      </c>
    </row>
    <row r="1261" spans="6:7" ht="12.75">
      <c r="F1261">
        <v>1260</v>
      </c>
      <c r="G1261" s="1">
        <f t="shared" si="20"/>
        <v>8.86523330169571</v>
      </c>
    </row>
    <row r="1262" spans="6:7" ht="12.75">
      <c r="F1262">
        <v>1261</v>
      </c>
      <c r="G1262" s="1">
        <f t="shared" si="20"/>
        <v>8.865758088758692</v>
      </c>
    </row>
    <row r="1263" spans="6:7" ht="12.75">
      <c r="F1263">
        <v>1262</v>
      </c>
      <c r="G1263" s="1">
        <f t="shared" si="20"/>
        <v>8.866300076647281</v>
      </c>
    </row>
    <row r="1264" spans="6:7" ht="12.75">
      <c r="F1264">
        <v>1263</v>
      </c>
      <c r="G1264" s="1">
        <f t="shared" si="20"/>
        <v>8.866859586334035</v>
      </c>
    </row>
    <row r="1265" spans="6:7" ht="12.75">
      <c r="F1265">
        <v>1264</v>
      </c>
      <c r="G1265" s="1">
        <f t="shared" si="20"/>
        <v>8.86743550828004</v>
      </c>
    </row>
    <row r="1266" spans="6:7" ht="12.75">
      <c r="F1266">
        <v>1265</v>
      </c>
      <c r="G1266" s="1">
        <f t="shared" si="20"/>
        <v>8.868028163457858</v>
      </c>
    </row>
    <row r="1267" spans="6:7" ht="12.75">
      <c r="F1267">
        <v>1266</v>
      </c>
      <c r="G1267" s="1">
        <f t="shared" si="20"/>
        <v>8.868637396002887</v>
      </c>
    </row>
    <row r="1268" spans="6:7" ht="12.75">
      <c r="F1268">
        <v>1267</v>
      </c>
      <c r="G1268" s="1">
        <f t="shared" si="20"/>
        <v>8.869264007492434</v>
      </c>
    </row>
    <row r="1269" spans="6:7" ht="12.75">
      <c r="F1269">
        <v>1268</v>
      </c>
      <c r="G1269" s="1">
        <f t="shared" si="20"/>
        <v>8.86990592689078</v>
      </c>
    </row>
    <row r="1270" spans="6:7" ht="12.75">
      <c r="F1270">
        <v>1269</v>
      </c>
      <c r="G1270" s="1">
        <f t="shared" si="20"/>
        <v>8.870563956064368</v>
      </c>
    </row>
    <row r="1271" spans="6:7" ht="12.75">
      <c r="F1271">
        <v>1270</v>
      </c>
      <c r="G1271" s="1">
        <f t="shared" si="20"/>
        <v>8.8712379391486</v>
      </c>
    </row>
    <row r="1272" spans="6:7" ht="12.75">
      <c r="F1272">
        <v>1271</v>
      </c>
      <c r="G1272" s="1">
        <f t="shared" si="20"/>
        <v>8.871928197116036</v>
      </c>
    </row>
    <row r="1273" spans="6:7" ht="12.75">
      <c r="F1273">
        <v>1272</v>
      </c>
      <c r="G1273" s="1">
        <f t="shared" si="20"/>
        <v>8.872633620427758</v>
      </c>
    </row>
    <row r="1274" spans="6:7" ht="12.75">
      <c r="F1274">
        <v>1273</v>
      </c>
      <c r="G1274" s="1">
        <f t="shared" si="20"/>
        <v>8.873354530056327</v>
      </c>
    </row>
    <row r="1275" spans="6:7" ht="12.75">
      <c r="F1275">
        <v>1274</v>
      </c>
      <c r="G1275" s="1">
        <f t="shared" si="20"/>
        <v>8.874090770137146</v>
      </c>
    </row>
    <row r="1276" spans="6:7" ht="12.75">
      <c r="F1276">
        <v>1275</v>
      </c>
      <c r="G1276" s="1">
        <f t="shared" si="20"/>
        <v>8.8748431400001</v>
      </c>
    </row>
    <row r="1277" spans="6:7" ht="12.75">
      <c r="F1277">
        <v>1276</v>
      </c>
      <c r="G1277" s="1">
        <f t="shared" si="20"/>
        <v>8.875609573118904</v>
      </c>
    </row>
    <row r="1278" spans="6:7" ht="12.75">
      <c r="F1278">
        <v>1277</v>
      </c>
      <c r="G1278" s="1">
        <f t="shared" si="20"/>
        <v>8.876390869097985</v>
      </c>
    </row>
    <row r="1279" spans="6:7" ht="12.75">
      <c r="F1279">
        <v>1278</v>
      </c>
      <c r="G1279" s="1">
        <f t="shared" si="20"/>
        <v>8.877186872072746</v>
      </c>
    </row>
    <row r="1280" spans="6:7" ht="12.75">
      <c r="F1280">
        <v>1279</v>
      </c>
      <c r="G1280" s="1">
        <f t="shared" si="20"/>
        <v>8.87799790301575</v>
      </c>
    </row>
    <row r="1281" spans="6:7" ht="12.75">
      <c r="F1281">
        <v>1280</v>
      </c>
      <c r="G1281" s="1">
        <f t="shared" si="20"/>
        <v>8.878822852388074</v>
      </c>
    </row>
    <row r="1282" spans="6:7" ht="12.75">
      <c r="F1282">
        <v>1281</v>
      </c>
      <c r="G1282" s="1">
        <f t="shared" si="20"/>
        <v>8.879662041162286</v>
      </c>
    </row>
    <row r="1283" spans="6:7" ht="12.75">
      <c r="F1283">
        <v>1282</v>
      </c>
      <c r="G1283" s="1">
        <f aca="true" t="shared" si="21" ref="G1283:G1346">cubic_spline($A$2:$A$24,$B$2:$B$24,F1283)</f>
        <v>8.880515789960388</v>
      </c>
    </row>
    <row r="1284" spans="6:7" ht="12.75">
      <c r="F1284">
        <v>1283</v>
      </c>
      <c r="G1284" s="1">
        <f t="shared" si="21"/>
        <v>8.881383466521783</v>
      </c>
    </row>
    <row r="1285" spans="6:7" ht="12.75">
      <c r="F1285">
        <v>1284</v>
      </c>
      <c r="G1285" s="1">
        <f t="shared" si="21"/>
        <v>8.882264438055929</v>
      </c>
    </row>
    <row r="1286" spans="6:7" ht="12.75">
      <c r="F1286">
        <v>1285</v>
      </c>
      <c r="G1286" s="1">
        <f t="shared" si="21"/>
        <v>8.883159025535393</v>
      </c>
    </row>
    <row r="1287" spans="6:7" ht="12.75">
      <c r="F1287">
        <v>1286</v>
      </c>
      <c r="G1287" s="1">
        <f t="shared" si="21"/>
        <v>8.884067073095572</v>
      </c>
    </row>
    <row r="1288" spans="6:7" ht="12.75">
      <c r="F1288">
        <v>1287</v>
      </c>
      <c r="G1288" s="1">
        <f t="shared" si="21"/>
        <v>8.884988901709027</v>
      </c>
    </row>
    <row r="1289" spans="6:7" ht="12.75">
      <c r="F1289">
        <v>1288</v>
      </c>
      <c r="G1289" s="1">
        <f t="shared" si="21"/>
        <v>8.885923401836845</v>
      </c>
    </row>
    <row r="1290" spans="6:7" ht="12.75">
      <c r="F1290">
        <v>1289</v>
      </c>
      <c r="G1290" s="1">
        <f t="shared" si="21"/>
        <v>8.886871369156857</v>
      </c>
    </row>
    <row r="1291" spans="6:7" ht="12.75">
      <c r="F1291">
        <v>1290</v>
      </c>
      <c r="G1291" s="1">
        <f t="shared" si="21"/>
        <v>8.887831698146737</v>
      </c>
    </row>
    <row r="1292" spans="6:7" ht="12.75">
      <c r="F1292">
        <v>1291</v>
      </c>
      <c r="G1292" s="1">
        <f t="shared" si="21"/>
        <v>8.888805184733325</v>
      </c>
    </row>
    <row r="1293" spans="6:7" ht="12.75">
      <c r="F1293">
        <v>1292</v>
      </c>
      <c r="G1293" s="1">
        <f t="shared" si="21"/>
        <v>8.889790719377704</v>
      </c>
    </row>
    <row r="1294" spans="6:7" ht="12.75">
      <c r="F1294">
        <v>1293</v>
      </c>
      <c r="G1294" s="1">
        <f t="shared" si="21"/>
        <v>8.890788623052435</v>
      </c>
    </row>
    <row r="1295" spans="6:7" ht="12.75">
      <c r="F1295">
        <v>1294</v>
      </c>
      <c r="G1295" s="1">
        <f t="shared" si="21"/>
        <v>8.891798739892922</v>
      </c>
    </row>
    <row r="1296" spans="6:7" ht="12.75">
      <c r="F1296">
        <v>1295</v>
      </c>
      <c r="G1296" s="1">
        <f t="shared" si="21"/>
        <v>8.892821390871717</v>
      </c>
    </row>
    <row r="1297" spans="6:7" ht="12.75">
      <c r="F1297">
        <v>1296</v>
      </c>
      <c r="G1297" s="1">
        <f t="shared" si="21"/>
        <v>8.893855466449912</v>
      </c>
    </row>
    <row r="1298" spans="6:7" ht="12.75">
      <c r="F1298">
        <v>1297</v>
      </c>
      <c r="G1298" s="1">
        <f t="shared" si="21"/>
        <v>8.89490176037898</v>
      </c>
    </row>
    <row r="1299" spans="6:7" ht="12.75">
      <c r="F1299">
        <v>1298</v>
      </c>
      <c r="G1299" s="1">
        <f t="shared" si="21"/>
        <v>8.895959647841066</v>
      </c>
    </row>
    <row r="1300" spans="6:7" ht="12.75">
      <c r="F1300">
        <v>1299</v>
      </c>
      <c r="G1300" s="1">
        <f t="shared" si="21"/>
        <v>8.897028492310579</v>
      </c>
    </row>
    <row r="1301" spans="6:7" ht="12.75">
      <c r="F1301">
        <v>1300</v>
      </c>
      <c r="G1301" s="1">
        <f t="shared" si="21"/>
        <v>8.898108614760076</v>
      </c>
    </row>
    <row r="1302" spans="6:7" ht="12.75">
      <c r="F1302">
        <v>1301</v>
      </c>
      <c r="G1302" s="1">
        <f t="shared" si="21"/>
        <v>8.899199859324963</v>
      </c>
    </row>
    <row r="1303" spans="6:7" ht="12.75">
      <c r="F1303">
        <v>1302</v>
      </c>
      <c r="G1303" s="1">
        <f t="shared" si="21"/>
        <v>8.900302544376334</v>
      </c>
    </row>
    <row r="1304" spans="6:7" ht="12.75">
      <c r="F1304">
        <v>1303</v>
      </c>
      <c r="G1304" s="1">
        <f t="shared" si="21"/>
        <v>8.90141556546647</v>
      </c>
    </row>
    <row r="1305" spans="6:7" ht="12.75">
      <c r="F1305">
        <v>1304</v>
      </c>
      <c r="G1305" s="1">
        <f t="shared" si="21"/>
        <v>8.902539717916268</v>
      </c>
    </row>
    <row r="1306" spans="6:7" ht="12.75">
      <c r="F1306">
        <v>1305</v>
      </c>
      <c r="G1306" s="1">
        <f t="shared" si="21"/>
        <v>8.903673892186815</v>
      </c>
    </row>
    <row r="1307" spans="6:7" ht="12.75">
      <c r="F1307">
        <v>1306</v>
      </c>
      <c r="G1307" s="1">
        <f t="shared" si="21"/>
        <v>8.904818883044907</v>
      </c>
    </row>
    <row r="1308" spans="6:7" ht="12.75">
      <c r="F1308">
        <v>1307</v>
      </c>
      <c r="G1308" s="1">
        <f t="shared" si="21"/>
        <v>8.905973586929388</v>
      </c>
    </row>
    <row r="1309" spans="6:7" ht="12.75">
      <c r="F1309">
        <v>1308</v>
      </c>
      <c r="G1309" s="1">
        <f t="shared" si="21"/>
        <v>8.907138321878895</v>
      </c>
    </row>
    <row r="1310" spans="6:7" ht="12.75">
      <c r="F1310">
        <v>1309</v>
      </c>
      <c r="G1310" s="1">
        <f t="shared" si="21"/>
        <v>8.908312932028823</v>
      </c>
    </row>
    <row r="1311" spans="6:7" ht="12.75">
      <c r="F1311">
        <v>1310</v>
      </c>
      <c r="G1311" s="1">
        <f t="shared" si="21"/>
        <v>8.909497734881953</v>
      </c>
    </row>
    <row r="1312" spans="6:7" ht="12.75">
      <c r="F1312">
        <v>1311</v>
      </c>
      <c r="G1312" s="1">
        <f t="shared" si="21"/>
        <v>8.910691627734503</v>
      </c>
    </row>
    <row r="1313" spans="6:7" ht="12.75">
      <c r="F1313">
        <v>1312</v>
      </c>
      <c r="G1313" s="1">
        <f t="shared" si="21"/>
        <v>8.911895405031752</v>
      </c>
    </row>
    <row r="1314" spans="6:7" ht="12.75">
      <c r="F1314">
        <v>1313</v>
      </c>
      <c r="G1314" s="1">
        <f t="shared" si="21"/>
        <v>8.91310819187301</v>
      </c>
    </row>
    <row r="1315" spans="6:7" ht="12.75">
      <c r="F1315">
        <v>1314</v>
      </c>
      <c r="G1315" s="1">
        <f t="shared" si="21"/>
        <v>8.914329839852687</v>
      </c>
    </row>
    <row r="1316" spans="6:7" ht="12.75">
      <c r="F1316">
        <v>1315</v>
      </c>
      <c r="G1316" s="1">
        <f t="shared" si="21"/>
        <v>8.915560666265606</v>
      </c>
    </row>
    <row r="1317" spans="6:7" ht="12.75">
      <c r="F1317">
        <v>1316</v>
      </c>
      <c r="G1317" s="1">
        <f t="shared" si="21"/>
        <v>8.916800038410003</v>
      </c>
    </row>
    <row r="1318" spans="6:7" ht="12.75">
      <c r="F1318">
        <v>1317</v>
      </c>
      <c r="G1318" s="1">
        <f t="shared" si="21"/>
        <v>8.918048511495341</v>
      </c>
    </row>
    <row r="1319" spans="6:7" ht="12.75">
      <c r="F1319">
        <v>1318</v>
      </c>
      <c r="G1319" s="1">
        <f t="shared" si="21"/>
        <v>8.919304984248015</v>
      </c>
    </row>
    <row r="1320" spans="6:7" ht="12.75">
      <c r="F1320">
        <v>1319</v>
      </c>
      <c r="G1320" s="1">
        <f t="shared" si="21"/>
        <v>8.920570011976443</v>
      </c>
    </row>
    <row r="1321" spans="6:7" ht="12.75">
      <c r="F1321">
        <v>1320</v>
      </c>
      <c r="G1321" s="1">
        <f t="shared" si="21"/>
        <v>8.92184296197887</v>
      </c>
    </row>
    <row r="1322" spans="6:7" ht="12.75">
      <c r="F1322">
        <v>1321</v>
      </c>
      <c r="G1322" s="1">
        <f t="shared" si="21"/>
        <v>8.923124389078026</v>
      </c>
    </row>
    <row r="1323" spans="6:7" ht="12.75">
      <c r="F1323">
        <v>1322</v>
      </c>
      <c r="G1323" s="1">
        <f t="shared" si="21"/>
        <v>8.924413192777415</v>
      </c>
    </row>
    <row r="1324" spans="6:7" ht="12.75">
      <c r="F1324">
        <v>1323</v>
      </c>
      <c r="G1324" s="1">
        <f t="shared" si="21"/>
        <v>8.925709927995074</v>
      </c>
    </row>
    <row r="1325" spans="6:7" ht="12.75">
      <c r="F1325">
        <v>1324</v>
      </c>
      <c r="G1325" s="1">
        <f t="shared" si="21"/>
        <v>8.92701419559895</v>
      </c>
    </row>
    <row r="1326" spans="6:7" ht="12.75">
      <c r="F1326">
        <v>1325</v>
      </c>
      <c r="G1326" s="1">
        <f t="shared" si="21"/>
        <v>8.928325849330541</v>
      </c>
    </row>
    <row r="1327" spans="6:7" ht="12.75">
      <c r="F1327">
        <v>1326</v>
      </c>
      <c r="G1327" s="1">
        <f t="shared" si="21"/>
        <v>8.929644490150364</v>
      </c>
    </row>
    <row r="1328" spans="6:7" ht="12.75">
      <c r="F1328">
        <v>1327</v>
      </c>
      <c r="G1328" s="1">
        <f t="shared" si="21"/>
        <v>8.930970439030983</v>
      </c>
    </row>
    <row r="1329" spans="6:7" ht="12.75">
      <c r="F1329">
        <v>1328</v>
      </c>
      <c r="G1329" s="1">
        <f t="shared" si="21"/>
        <v>8.93230329647914</v>
      </c>
    </row>
    <row r="1330" spans="6:7" ht="12.75">
      <c r="F1330">
        <v>1329</v>
      </c>
      <c r="G1330" s="1">
        <f t="shared" si="21"/>
        <v>8.93364291696237</v>
      </c>
    </row>
    <row r="1331" spans="6:7" ht="12.75">
      <c r="F1331">
        <v>1330</v>
      </c>
      <c r="G1331" s="1">
        <f t="shared" si="21"/>
        <v>8.934988901076352</v>
      </c>
    </row>
    <row r="1332" spans="6:7" ht="12.75">
      <c r="F1332">
        <v>1331</v>
      </c>
      <c r="G1332" s="1">
        <f t="shared" si="21"/>
        <v>8.936341569793647</v>
      </c>
    </row>
    <row r="1333" spans="6:7" ht="12.75">
      <c r="F1333">
        <v>1332</v>
      </c>
      <c r="G1333" s="1">
        <f t="shared" si="21"/>
        <v>8.937700523274401</v>
      </c>
    </row>
    <row r="1334" spans="6:7" ht="12.75">
      <c r="F1334">
        <v>1333</v>
      </c>
      <c r="G1334" s="1">
        <f t="shared" si="21"/>
        <v>8.939065616682992</v>
      </c>
    </row>
    <row r="1335" spans="6:7" ht="12.75">
      <c r="F1335">
        <v>1334</v>
      </c>
      <c r="G1335" s="1">
        <f t="shared" si="21"/>
        <v>8.940436450264853</v>
      </c>
    </row>
    <row r="1336" spans="6:7" ht="12.75">
      <c r="F1336">
        <v>1335</v>
      </c>
      <c r="G1336" s="1">
        <f t="shared" si="21"/>
        <v>8.941813577604082</v>
      </c>
    </row>
    <row r="1337" spans="6:7" ht="12.75">
      <c r="F1337">
        <v>1336</v>
      </c>
      <c r="G1337" s="1">
        <f t="shared" si="21"/>
        <v>8.943195900694214</v>
      </c>
    </row>
    <row r="1338" spans="6:7" ht="12.75">
      <c r="F1338">
        <v>1337</v>
      </c>
      <c r="G1338" s="1">
        <f t="shared" si="21"/>
        <v>8.94458397320189</v>
      </c>
    </row>
    <row r="1339" spans="6:7" ht="12.75">
      <c r="F1339">
        <v>1338</v>
      </c>
      <c r="G1339" s="1">
        <f t="shared" si="21"/>
        <v>8.945977162425352</v>
      </c>
    </row>
    <row r="1340" spans="6:7" ht="12.75">
      <c r="F1340">
        <v>1339</v>
      </c>
      <c r="G1340" s="1">
        <f t="shared" si="21"/>
        <v>8.947376021627642</v>
      </c>
    </row>
    <row r="1341" spans="6:7" ht="12.75">
      <c r="F1341">
        <v>1340</v>
      </c>
      <c r="G1341" s="1">
        <f t="shared" si="21"/>
        <v>8.948779453448061</v>
      </c>
    </row>
    <row r="1342" spans="6:7" ht="12.75">
      <c r="F1342">
        <v>1341</v>
      </c>
      <c r="G1342" s="1">
        <f t="shared" si="21"/>
        <v>8.950188011228542</v>
      </c>
    </row>
    <row r="1343" spans="6:7" ht="12.75">
      <c r="F1343">
        <v>1342</v>
      </c>
      <c r="G1343" s="1">
        <f t="shared" si="21"/>
        <v>8.95160106226733</v>
      </c>
    </row>
    <row r="1344" spans="6:7" ht="12.75">
      <c r="F1344">
        <v>1343</v>
      </c>
      <c r="G1344" s="1">
        <f t="shared" si="21"/>
        <v>8.953019159520995</v>
      </c>
    </row>
    <row r="1345" spans="6:7" ht="12.75">
      <c r="F1345">
        <v>1344</v>
      </c>
      <c r="G1345" s="1">
        <f t="shared" si="21"/>
        <v>8.954441444664</v>
      </c>
    </row>
    <row r="1346" spans="6:7" ht="12.75">
      <c r="F1346">
        <v>1345</v>
      </c>
      <c r="G1346" s="1">
        <f t="shared" si="21"/>
        <v>8.95586775547243</v>
      </c>
    </row>
    <row r="1347" spans="6:7" ht="12.75">
      <c r="F1347">
        <v>1346</v>
      </c>
      <c r="G1347" s="1">
        <f aca="true" t="shared" si="22" ref="G1347:G1410">cubic_spline($A$2:$A$24,$B$2:$B$24,F1347)</f>
        <v>8.95729864468258</v>
      </c>
    </row>
    <row r="1348" spans="6:7" ht="12.75">
      <c r="F1348">
        <v>1347</v>
      </c>
      <c r="G1348" s="1">
        <f t="shared" si="22"/>
        <v>8.95873301599362</v>
      </c>
    </row>
    <row r="1349" spans="6:7" ht="12.75">
      <c r="F1349">
        <v>1348</v>
      </c>
      <c r="G1349" s="1">
        <f t="shared" si="22"/>
        <v>8.960171422214357</v>
      </c>
    </row>
    <row r="1350" spans="6:7" ht="12.75">
      <c r="F1350">
        <v>1349</v>
      </c>
      <c r="G1350" s="1">
        <f t="shared" si="22"/>
        <v>8.961613230643037</v>
      </c>
    </row>
    <row r="1351" spans="6:7" ht="12.75">
      <c r="F1351">
        <v>1350</v>
      </c>
      <c r="G1351" s="1">
        <f t="shared" si="22"/>
        <v>8.963058993735029</v>
      </c>
    </row>
    <row r="1352" spans="6:7" ht="12.75">
      <c r="F1352">
        <v>1351</v>
      </c>
      <c r="G1352" s="1">
        <f t="shared" si="22"/>
        <v>8.964507615755002</v>
      </c>
    </row>
    <row r="1353" spans="6:7" ht="12.75">
      <c r="F1353">
        <v>1352</v>
      </c>
      <c r="G1353" s="1">
        <f t="shared" si="22"/>
        <v>8.965959649227191</v>
      </c>
    </row>
    <row r="1354" spans="6:7" ht="12.75">
      <c r="F1354">
        <v>1353</v>
      </c>
      <c r="G1354" s="1">
        <f t="shared" si="22"/>
        <v>8.96741446144984</v>
      </c>
    </row>
    <row r="1355" spans="6:7" ht="12.75">
      <c r="F1355">
        <v>1354</v>
      </c>
      <c r="G1355" s="1">
        <f t="shared" si="22"/>
        <v>8.968872604611988</v>
      </c>
    </row>
    <row r="1356" spans="6:7" ht="12.75">
      <c r="F1356">
        <v>1355</v>
      </c>
      <c r="G1356" s="1">
        <f t="shared" si="22"/>
        <v>8.970332983514618</v>
      </c>
    </row>
    <row r="1357" spans="6:7" ht="12.75">
      <c r="F1357">
        <v>1356</v>
      </c>
      <c r="G1357" s="1">
        <f t="shared" si="22"/>
        <v>8.971796150411983</v>
      </c>
    </row>
    <row r="1358" spans="6:7" ht="12.75">
      <c r="F1358">
        <v>1357</v>
      </c>
      <c r="G1358" s="1">
        <f t="shared" si="22"/>
        <v>8.973261703628628</v>
      </c>
    </row>
    <row r="1359" spans="6:7" ht="12.75">
      <c r="F1359">
        <v>1358</v>
      </c>
      <c r="G1359" s="1">
        <f t="shared" si="22"/>
        <v>8.974729502022944</v>
      </c>
    </row>
    <row r="1360" spans="6:7" ht="12.75">
      <c r="F1360">
        <v>1359</v>
      </c>
      <c r="G1360" s="1">
        <f t="shared" si="22"/>
        <v>8.976199143981953</v>
      </c>
    </row>
    <row r="1361" spans="6:7" ht="12.75">
      <c r="F1361">
        <v>1360</v>
      </c>
      <c r="G1361" s="1">
        <f t="shared" si="22"/>
        <v>8.977670950478213</v>
      </c>
    </row>
    <row r="1362" spans="6:7" ht="12.75">
      <c r="F1362">
        <v>1361</v>
      </c>
      <c r="G1362" s="1">
        <f t="shared" si="22"/>
        <v>8.97914451959548</v>
      </c>
    </row>
    <row r="1363" spans="6:7" ht="12.75">
      <c r="F1363">
        <v>1362</v>
      </c>
      <c r="G1363" s="1">
        <f t="shared" si="22"/>
        <v>8.980619710677376</v>
      </c>
    </row>
    <row r="1364" spans="6:7" ht="12.75">
      <c r="F1364">
        <v>1363</v>
      </c>
      <c r="G1364" s="1">
        <f t="shared" si="22"/>
        <v>8.982096121866482</v>
      </c>
    </row>
    <row r="1365" spans="6:7" ht="12.75">
      <c r="F1365">
        <v>1364</v>
      </c>
      <c r="G1365" s="1">
        <f t="shared" si="22"/>
        <v>8.983574070233319</v>
      </c>
    </row>
    <row r="1366" spans="6:7" ht="12.75">
      <c r="F1366">
        <v>1365</v>
      </c>
      <c r="G1366" s="1">
        <f t="shared" si="22"/>
        <v>8.9850531692712</v>
      </c>
    </row>
    <row r="1367" spans="6:7" ht="12.75">
      <c r="F1367">
        <v>1366</v>
      </c>
      <c r="G1367" s="1">
        <f t="shared" si="22"/>
        <v>8.986533255284762</v>
      </c>
    </row>
    <row r="1368" spans="6:7" ht="12.75">
      <c r="F1368">
        <v>1367</v>
      </c>
      <c r="G1368" s="1">
        <f t="shared" si="22"/>
        <v>8.988013941877693</v>
      </c>
    </row>
    <row r="1369" spans="6:7" ht="12.75">
      <c r="F1369">
        <v>1368</v>
      </c>
      <c r="G1369" s="1">
        <f t="shared" si="22"/>
        <v>8.98949554208324</v>
      </c>
    </row>
    <row r="1370" spans="6:7" ht="12.75">
      <c r="F1370">
        <v>1369</v>
      </c>
      <c r="G1370" s="1">
        <f t="shared" si="22"/>
        <v>8.990977784785656</v>
      </c>
    </row>
    <row r="1371" spans="6:7" ht="12.75">
      <c r="F1371">
        <v>1370</v>
      </c>
      <c r="G1371" s="1">
        <f t="shared" si="22"/>
        <v>8.99246016055459</v>
      </c>
    </row>
    <row r="1372" spans="6:7" ht="12.75">
      <c r="F1372">
        <v>1371</v>
      </c>
      <c r="G1372" s="1">
        <f t="shared" si="22"/>
        <v>8.993942863058038</v>
      </c>
    </row>
    <row r="1373" spans="6:7" ht="12.75">
      <c r="F1373">
        <v>1372</v>
      </c>
      <c r="G1373" s="1">
        <f t="shared" si="22"/>
        <v>8.995425506159632</v>
      </c>
    </row>
    <row r="1374" spans="6:7" ht="12.75">
      <c r="F1374">
        <v>1373</v>
      </c>
      <c r="G1374" s="1">
        <f t="shared" si="22"/>
        <v>8.996908164218654</v>
      </c>
    </row>
    <row r="1375" spans="6:7" ht="12.75">
      <c r="F1375">
        <v>1374</v>
      </c>
      <c r="G1375" s="1">
        <f t="shared" si="22"/>
        <v>8.998390451196334</v>
      </c>
    </row>
    <row r="1376" spans="6:7" ht="12.75">
      <c r="F1376">
        <v>1375</v>
      </c>
      <c r="G1376" s="1">
        <f t="shared" si="22"/>
        <v>8.999872441356189</v>
      </c>
    </row>
    <row r="1377" spans="6:7" ht="12.75">
      <c r="F1377">
        <v>1376</v>
      </c>
      <c r="G1377" s="1">
        <f t="shared" si="22"/>
        <v>9.00135374875339</v>
      </c>
    </row>
    <row r="1378" spans="6:7" ht="12.75">
      <c r="F1378">
        <v>1377</v>
      </c>
      <c r="G1378" s="1">
        <f t="shared" si="22"/>
        <v>9.00283444755933</v>
      </c>
    </row>
    <row r="1379" spans="6:7" ht="12.75">
      <c r="F1379">
        <v>1378</v>
      </c>
      <c r="G1379" s="1">
        <f t="shared" si="22"/>
        <v>9.00431415191948</v>
      </c>
    </row>
    <row r="1380" spans="6:7" ht="12.75">
      <c r="F1380">
        <v>1379</v>
      </c>
      <c r="G1380" s="1">
        <f t="shared" si="22"/>
        <v>9.005792935916759</v>
      </c>
    </row>
    <row r="1381" spans="6:7" ht="12.75">
      <c r="F1381">
        <v>1380</v>
      </c>
      <c r="G1381" s="1">
        <f t="shared" si="22"/>
        <v>9.007270528703803</v>
      </c>
    </row>
    <row r="1382" spans="6:7" ht="12.75">
      <c r="F1382">
        <v>1381</v>
      </c>
      <c r="G1382" s="1">
        <f t="shared" si="22"/>
        <v>9.008746659517165</v>
      </c>
    </row>
    <row r="1383" spans="6:7" ht="12.75">
      <c r="F1383">
        <v>1382</v>
      </c>
      <c r="G1383" s="1">
        <f t="shared" si="22"/>
        <v>9.010221402313887</v>
      </c>
    </row>
    <row r="1384" spans="6:7" ht="12.75">
      <c r="F1384">
        <v>1383</v>
      </c>
      <c r="G1384" s="1">
        <f t="shared" si="22"/>
        <v>9.011694371449229</v>
      </c>
    </row>
    <row r="1385" spans="6:7" ht="12.75">
      <c r="F1385">
        <v>1384</v>
      </c>
      <c r="G1385" s="1">
        <f t="shared" si="22"/>
        <v>9.013165640800885</v>
      </c>
    </row>
    <row r="1386" spans="6:7" ht="12.75">
      <c r="F1386">
        <v>1385</v>
      </c>
      <c r="G1386" s="1">
        <f t="shared" si="22"/>
        <v>9.014634824801638</v>
      </c>
    </row>
    <row r="1387" spans="6:7" ht="12.75">
      <c r="F1387">
        <v>1386</v>
      </c>
      <c r="G1387" s="1">
        <f t="shared" si="22"/>
        <v>9.016101997253482</v>
      </c>
    </row>
    <row r="1388" spans="6:7" ht="12.75">
      <c r="F1388">
        <v>1387</v>
      </c>
      <c r="G1388" s="1">
        <f t="shared" si="22"/>
        <v>9.01756677266308</v>
      </c>
    </row>
    <row r="1389" spans="6:7" ht="12.75">
      <c r="F1389">
        <v>1388</v>
      </c>
      <c r="G1389" s="1">
        <f t="shared" si="22"/>
        <v>9.019029224760365</v>
      </c>
    </row>
    <row r="1390" spans="6:7" ht="12.75">
      <c r="F1390">
        <v>1389</v>
      </c>
      <c r="G1390" s="1">
        <f t="shared" si="22"/>
        <v>9.020488968122235</v>
      </c>
    </row>
    <row r="1391" spans="6:7" ht="12.75">
      <c r="F1391">
        <v>1390</v>
      </c>
      <c r="G1391" s="1">
        <f t="shared" si="22"/>
        <v>9.021946076410218</v>
      </c>
    </row>
    <row r="1392" spans="6:7" ht="12.75">
      <c r="F1392">
        <v>1391</v>
      </c>
      <c r="G1392" s="1">
        <f t="shared" si="22"/>
        <v>9.023400278990152</v>
      </c>
    </row>
    <row r="1393" spans="6:7" ht="12.75">
      <c r="F1393">
        <v>1392</v>
      </c>
      <c r="G1393" s="1">
        <f t="shared" si="22"/>
        <v>9.024851305291726</v>
      </c>
    </row>
    <row r="1394" spans="6:7" ht="12.75">
      <c r="F1394">
        <v>1393</v>
      </c>
      <c r="G1394" s="1">
        <f t="shared" si="22"/>
        <v>9.026299228880694</v>
      </c>
    </row>
    <row r="1395" spans="6:7" ht="12.75">
      <c r="F1395">
        <v>1394</v>
      </c>
      <c r="G1395" s="1">
        <f t="shared" si="22"/>
        <v>9.027743664493572</v>
      </c>
    </row>
    <row r="1396" spans="6:7" ht="12.75">
      <c r="F1396">
        <v>1395</v>
      </c>
      <c r="G1396" s="1">
        <f t="shared" si="22"/>
        <v>9.029184687909483</v>
      </c>
    </row>
    <row r="1397" spans="6:7" ht="12.75">
      <c r="F1397">
        <v>1396</v>
      </c>
      <c r="G1397" s="1">
        <f t="shared" si="22"/>
        <v>9.030621907104447</v>
      </c>
    </row>
    <row r="1398" spans="6:7" ht="12.75">
      <c r="F1398">
        <v>1397</v>
      </c>
      <c r="G1398" s="1">
        <f t="shared" si="22"/>
        <v>9.032055461951893</v>
      </c>
    </row>
    <row r="1399" spans="6:7" ht="12.75">
      <c r="F1399">
        <v>1398</v>
      </c>
      <c r="G1399" s="1">
        <f t="shared" si="22"/>
        <v>9.033484903130171</v>
      </c>
    </row>
    <row r="1400" spans="6:7" ht="12.75">
      <c r="F1400">
        <v>1399</v>
      </c>
      <c r="G1400" s="1">
        <f t="shared" si="22"/>
        <v>9.034910191705277</v>
      </c>
    </row>
    <row r="1401" spans="6:7" ht="12.75">
      <c r="F1401">
        <v>1400</v>
      </c>
      <c r="G1401" s="1">
        <f t="shared" si="22"/>
        <v>9.036331171813293</v>
      </c>
    </row>
    <row r="1402" spans="6:7" ht="12.75">
      <c r="F1402">
        <v>1401</v>
      </c>
      <c r="G1402" s="1">
        <f t="shared" si="22"/>
        <v>9.03774768759031</v>
      </c>
    </row>
    <row r="1403" spans="6:7" ht="12.75">
      <c r="F1403">
        <v>1402</v>
      </c>
      <c r="G1403" s="1">
        <f t="shared" si="22"/>
        <v>9.039159583172408</v>
      </c>
    </row>
    <row r="1404" spans="6:7" ht="12.75">
      <c r="F1404">
        <v>1403</v>
      </c>
      <c r="G1404" s="1">
        <f t="shared" si="22"/>
        <v>9.040566702695678</v>
      </c>
    </row>
    <row r="1405" spans="6:7" ht="12.75">
      <c r="F1405">
        <v>1404</v>
      </c>
      <c r="G1405" s="1">
        <f t="shared" si="22"/>
        <v>9.041968890296202</v>
      </c>
    </row>
    <row r="1406" spans="6:7" ht="12.75">
      <c r="F1406">
        <v>1405</v>
      </c>
      <c r="G1406" s="1">
        <f t="shared" si="22"/>
        <v>9.043365990110066</v>
      </c>
    </row>
    <row r="1407" spans="6:7" ht="12.75">
      <c r="F1407">
        <v>1406</v>
      </c>
      <c r="G1407" s="1">
        <f t="shared" si="22"/>
        <v>9.044757846273358</v>
      </c>
    </row>
    <row r="1408" spans="6:7" ht="12.75">
      <c r="F1408">
        <v>1407</v>
      </c>
      <c r="G1408" s="1">
        <f t="shared" si="22"/>
        <v>9.04614430292216</v>
      </c>
    </row>
    <row r="1409" spans="6:7" ht="12.75">
      <c r="F1409">
        <v>1408</v>
      </c>
      <c r="G1409" s="1">
        <f t="shared" si="22"/>
        <v>9.047525261454894</v>
      </c>
    </row>
    <row r="1410" spans="6:7" ht="12.75">
      <c r="F1410">
        <v>1409</v>
      </c>
      <c r="G1410" s="1">
        <f t="shared" si="22"/>
        <v>9.048900451479215</v>
      </c>
    </row>
    <row r="1411" spans="6:7" ht="12.75">
      <c r="F1411">
        <v>1410</v>
      </c>
      <c r="G1411" s="1">
        <f aca="true" t="shared" si="23" ref="G1411:G1474">cubic_spline($A$2:$A$24,$B$2:$B$24,F1411)</f>
        <v>9.050269775572337</v>
      </c>
    </row>
    <row r="1412" spans="6:7" ht="12.75">
      <c r="F1412">
        <v>1411</v>
      </c>
      <c r="G1412" s="1">
        <f t="shared" si="23"/>
        <v>9.051633104148257</v>
      </c>
    </row>
    <row r="1413" spans="6:7" ht="12.75">
      <c r="F1413">
        <v>1412</v>
      </c>
      <c r="G1413" s="1">
        <f t="shared" si="23"/>
        <v>9.052990225262826</v>
      </c>
    </row>
    <row r="1414" spans="6:7" ht="12.75">
      <c r="F1414">
        <v>1413</v>
      </c>
      <c r="G1414" s="1">
        <f t="shared" si="23"/>
        <v>9.054341011679652</v>
      </c>
    </row>
    <row r="1415" spans="6:7" ht="12.75">
      <c r="F1415">
        <v>1414</v>
      </c>
      <c r="G1415" s="1">
        <f t="shared" si="23"/>
        <v>9.055685307534814</v>
      </c>
    </row>
    <row r="1416" spans="6:7" ht="12.75">
      <c r="F1416">
        <v>1415</v>
      </c>
      <c r="G1416" s="1">
        <f t="shared" si="23"/>
        <v>9.057022956964401</v>
      </c>
    </row>
    <row r="1417" spans="6:7" ht="12.75">
      <c r="F1417">
        <v>1416</v>
      </c>
      <c r="G1417" s="1">
        <f t="shared" si="23"/>
        <v>9.058353804104502</v>
      </c>
    </row>
    <row r="1418" spans="6:7" ht="12.75">
      <c r="F1418">
        <v>1417</v>
      </c>
      <c r="G1418" s="1">
        <f t="shared" si="23"/>
        <v>9.059677721709535</v>
      </c>
    </row>
    <row r="1419" spans="6:7" ht="12.75">
      <c r="F1419">
        <v>1418</v>
      </c>
      <c r="G1419" s="1">
        <f t="shared" si="23"/>
        <v>9.06099451157922</v>
      </c>
    </row>
    <row r="1420" spans="6:7" ht="12.75">
      <c r="F1420">
        <v>1419</v>
      </c>
      <c r="G1420" s="1">
        <f t="shared" si="23"/>
        <v>9.062304016666625</v>
      </c>
    </row>
    <row r="1421" spans="6:7" ht="12.75">
      <c r="F1421">
        <v>1420</v>
      </c>
      <c r="G1421" s="1">
        <f t="shared" si="23"/>
        <v>9.063606096008998</v>
      </c>
    </row>
    <row r="1422" spans="6:7" ht="12.75">
      <c r="F1422">
        <v>1421</v>
      </c>
      <c r="G1422" s="1">
        <f t="shared" si="23"/>
        <v>9.064900608050223</v>
      </c>
    </row>
    <row r="1423" spans="6:7" ht="12.75">
      <c r="F1423">
        <v>1422</v>
      </c>
      <c r="G1423" s="1">
        <f t="shared" si="23"/>
        <v>9.066187375761169</v>
      </c>
    </row>
    <row r="1424" spans="6:7" ht="12.75">
      <c r="F1424">
        <v>1423</v>
      </c>
      <c r="G1424" s="1">
        <f t="shared" si="23"/>
        <v>9.067466249838544</v>
      </c>
    </row>
    <row r="1425" spans="6:7" ht="12.75">
      <c r="F1425">
        <v>1424</v>
      </c>
      <c r="G1425" s="1">
        <f t="shared" si="23"/>
        <v>9.068737074863648</v>
      </c>
    </row>
    <row r="1426" spans="6:7" ht="12.75">
      <c r="F1426">
        <v>1425</v>
      </c>
      <c r="G1426" s="1">
        <f t="shared" si="23"/>
        <v>9.069999694824219</v>
      </c>
    </row>
    <row r="1427" spans="6:7" ht="12.75">
      <c r="F1427">
        <v>1426</v>
      </c>
      <c r="G1427" s="1">
        <f t="shared" si="23"/>
        <v>9.07125421468678</v>
      </c>
    </row>
    <row r="1428" spans="6:7" ht="12.75">
      <c r="F1428">
        <v>1427</v>
      </c>
      <c r="G1428" s="1">
        <f t="shared" si="23"/>
        <v>9.072500406694834</v>
      </c>
    </row>
    <row r="1429" spans="6:7" ht="12.75">
      <c r="F1429">
        <v>1428</v>
      </c>
      <c r="G1429" s="1">
        <f t="shared" si="23"/>
        <v>9.073737350221055</v>
      </c>
    </row>
    <row r="1430" spans="6:7" ht="12.75">
      <c r="F1430">
        <v>1429</v>
      </c>
      <c r="G1430" s="1">
        <f t="shared" si="23"/>
        <v>9.074966985661064</v>
      </c>
    </row>
    <row r="1431" spans="6:7" ht="12.75">
      <c r="F1431">
        <v>1430</v>
      </c>
      <c r="G1431" s="1">
        <f t="shared" si="23"/>
        <v>9.076188402396312</v>
      </c>
    </row>
    <row r="1432" spans="6:7" ht="12.75">
      <c r="F1432">
        <v>1431</v>
      </c>
      <c r="G1432" s="1">
        <f t="shared" si="23"/>
        <v>9.07740065965857</v>
      </c>
    </row>
    <row r="1433" spans="6:7" ht="12.75">
      <c r="F1433">
        <v>1432</v>
      </c>
      <c r="G1433" s="1">
        <f t="shared" si="23"/>
        <v>9.078605707976077</v>
      </c>
    </row>
    <row r="1434" spans="6:7" ht="12.75">
      <c r="F1434">
        <v>1433</v>
      </c>
      <c r="G1434" s="1">
        <f t="shared" si="23"/>
        <v>9.07980262672151</v>
      </c>
    </row>
    <row r="1435" spans="6:7" ht="12.75">
      <c r="F1435">
        <v>1434</v>
      </c>
      <c r="G1435" s="1">
        <f t="shared" si="23"/>
        <v>9.080991448941852</v>
      </c>
    </row>
    <row r="1436" spans="6:7" ht="12.75">
      <c r="F1436">
        <v>1435</v>
      </c>
      <c r="G1436" s="1">
        <f t="shared" si="23"/>
        <v>9.082172207684092</v>
      </c>
    </row>
    <row r="1437" spans="6:7" ht="12.75">
      <c r="F1437">
        <v>1436</v>
      </c>
      <c r="G1437" s="1">
        <f t="shared" si="23"/>
        <v>9.083343982320905</v>
      </c>
    </row>
    <row r="1438" spans="6:7" ht="12.75">
      <c r="F1438">
        <v>1437</v>
      </c>
      <c r="G1438" s="1">
        <f t="shared" si="23"/>
        <v>9.084508713247908</v>
      </c>
    </row>
    <row r="1439" spans="6:7" ht="12.75">
      <c r="F1439">
        <v>1438</v>
      </c>
      <c r="G1439" s="1">
        <f t="shared" si="23"/>
        <v>9.085665479837775</v>
      </c>
    </row>
    <row r="1440" spans="6:7" ht="12.75">
      <c r="F1440">
        <v>1439</v>
      </c>
      <c r="G1440" s="1">
        <f t="shared" si="23"/>
        <v>9.086814315137497</v>
      </c>
    </row>
    <row r="1441" spans="6:7" ht="12.75">
      <c r="F1441">
        <v>1440</v>
      </c>
      <c r="G1441" s="1">
        <f t="shared" si="23"/>
        <v>9.087954307317533</v>
      </c>
    </row>
    <row r="1442" spans="6:7" ht="12.75">
      <c r="F1442">
        <v>1441</v>
      </c>
      <c r="G1442" s="1">
        <f t="shared" si="23"/>
        <v>9.089087379059565</v>
      </c>
    </row>
    <row r="1443" spans="6:7" ht="12.75">
      <c r="F1443">
        <v>1442</v>
      </c>
      <c r="G1443" s="1">
        <f t="shared" si="23"/>
        <v>9.090212618652913</v>
      </c>
    </row>
    <row r="1444" spans="6:7" ht="12.75">
      <c r="F1444">
        <v>1443</v>
      </c>
      <c r="G1444" s="1">
        <f t="shared" si="23"/>
        <v>9.091330059144562</v>
      </c>
    </row>
    <row r="1445" spans="6:7" ht="12.75">
      <c r="F1445">
        <v>1444</v>
      </c>
      <c r="G1445" s="1">
        <f t="shared" si="23"/>
        <v>9.09243877990719</v>
      </c>
    </row>
    <row r="1446" spans="6:7" ht="12.75">
      <c r="F1446">
        <v>1445</v>
      </c>
      <c r="G1446" s="1">
        <f t="shared" si="23"/>
        <v>9.093540721336415</v>
      </c>
    </row>
    <row r="1447" spans="6:7" ht="12.75">
      <c r="F1447">
        <v>1446</v>
      </c>
      <c r="G1447" s="1">
        <f t="shared" si="23"/>
        <v>9.094634962804907</v>
      </c>
    </row>
    <row r="1448" spans="6:7" ht="12.75">
      <c r="F1448">
        <v>1447</v>
      </c>
      <c r="G1448" s="1">
        <f t="shared" si="23"/>
        <v>9.095721537359658</v>
      </c>
    </row>
    <row r="1449" spans="6:7" ht="12.75">
      <c r="F1449">
        <v>1448</v>
      </c>
      <c r="G1449" s="1">
        <f t="shared" si="23"/>
        <v>9.096800478047653</v>
      </c>
    </row>
    <row r="1450" spans="6:7" ht="12.75">
      <c r="F1450">
        <v>1449</v>
      </c>
      <c r="G1450" s="1">
        <f t="shared" si="23"/>
        <v>9.097870871992074</v>
      </c>
    </row>
    <row r="1451" spans="6:7" ht="12.75">
      <c r="F1451">
        <v>1450</v>
      </c>
      <c r="G1451" s="1">
        <f t="shared" si="23"/>
        <v>9.098934643973651</v>
      </c>
    </row>
    <row r="1452" spans="6:7" ht="12.75">
      <c r="F1452">
        <v>1451</v>
      </c>
      <c r="G1452" s="1">
        <f t="shared" si="23"/>
        <v>9.099990881229937</v>
      </c>
    </row>
    <row r="1453" spans="6:7" ht="12.75">
      <c r="F1453">
        <v>1452</v>
      </c>
      <c r="G1453" s="1">
        <f t="shared" si="23"/>
        <v>9.101038663133604</v>
      </c>
    </row>
    <row r="1454" spans="6:7" ht="12.75">
      <c r="F1454">
        <v>1453</v>
      </c>
      <c r="G1454" s="1">
        <f t="shared" si="23"/>
        <v>9.102079930080274</v>
      </c>
    </row>
    <row r="1455" spans="6:7" ht="12.75">
      <c r="F1455">
        <v>1454</v>
      </c>
      <c r="G1455" s="1">
        <f t="shared" si="23"/>
        <v>9.103113761442614</v>
      </c>
    </row>
    <row r="1456" spans="6:7" ht="12.75">
      <c r="F1456">
        <v>1455</v>
      </c>
      <c r="G1456" s="1">
        <f t="shared" si="23"/>
        <v>9.104140190267618</v>
      </c>
    </row>
    <row r="1457" spans="6:7" ht="12.75">
      <c r="F1457">
        <v>1456</v>
      </c>
      <c r="G1457" s="1">
        <f t="shared" si="23"/>
        <v>9.105158772765115</v>
      </c>
    </row>
    <row r="1458" spans="6:7" ht="12.75">
      <c r="F1458">
        <v>1457</v>
      </c>
      <c r="G1458" s="1">
        <f t="shared" si="23"/>
        <v>9.106170495656405</v>
      </c>
    </row>
    <row r="1459" spans="6:7" ht="12.75">
      <c r="F1459">
        <v>1458</v>
      </c>
      <c r="G1459" s="1">
        <f t="shared" si="23"/>
        <v>9.107174445057758</v>
      </c>
    </row>
    <row r="1460" spans="6:7" ht="12.75">
      <c r="F1460">
        <v>1459</v>
      </c>
      <c r="G1460" s="1">
        <f t="shared" si="23"/>
        <v>9.108171117256745</v>
      </c>
    </row>
    <row r="1461" spans="6:7" ht="12.75">
      <c r="F1461">
        <v>1460</v>
      </c>
      <c r="G1461" s="1">
        <f t="shared" si="23"/>
        <v>9.109161028990993</v>
      </c>
    </row>
    <row r="1462" spans="6:7" ht="12.75">
      <c r="F1462">
        <v>1461</v>
      </c>
      <c r="G1462" s="1">
        <f t="shared" si="23"/>
        <v>9.110143259633173</v>
      </c>
    </row>
    <row r="1463" spans="6:7" ht="12.75">
      <c r="F1463">
        <v>1462</v>
      </c>
      <c r="G1463" s="1">
        <f t="shared" si="23"/>
        <v>9.111118795904586</v>
      </c>
    </row>
    <row r="1464" spans="6:7" ht="12.75">
      <c r="F1464">
        <v>1463</v>
      </c>
      <c r="G1464" s="1">
        <f t="shared" si="23"/>
        <v>9.11208719401507</v>
      </c>
    </row>
    <row r="1465" spans="6:7" ht="12.75">
      <c r="F1465">
        <v>1464</v>
      </c>
      <c r="G1465" s="1">
        <f t="shared" si="23"/>
        <v>9.113048010174447</v>
      </c>
    </row>
    <row r="1466" spans="6:7" ht="12.75">
      <c r="F1466">
        <v>1465</v>
      </c>
      <c r="G1466" s="1">
        <f t="shared" si="23"/>
        <v>9.114002231104026</v>
      </c>
    </row>
    <row r="1467" spans="6:7" ht="12.75">
      <c r="F1467">
        <v>1466</v>
      </c>
      <c r="G1467" s="1">
        <f t="shared" si="23"/>
        <v>9.114949413013639</v>
      </c>
    </row>
    <row r="1468" spans="6:7" ht="12.75">
      <c r="F1468">
        <v>1467</v>
      </c>
      <c r="G1468" s="1">
        <f t="shared" si="23"/>
        <v>9.115889112113111</v>
      </c>
    </row>
    <row r="1469" spans="6:7" ht="12.75">
      <c r="F1469">
        <v>1468</v>
      </c>
      <c r="G1469" s="1">
        <f t="shared" si="23"/>
        <v>9.116821843958729</v>
      </c>
    </row>
    <row r="1470" spans="6:7" ht="12.75">
      <c r="F1470">
        <v>1469</v>
      </c>
      <c r="G1470" s="1">
        <f t="shared" si="23"/>
        <v>9.117747630148802</v>
      </c>
    </row>
    <row r="1471" spans="6:7" ht="12.75">
      <c r="F1471">
        <v>1470</v>
      </c>
      <c r="G1471" s="1">
        <f t="shared" si="23"/>
        <v>9.118666986344513</v>
      </c>
    </row>
    <row r="1472" spans="6:7" ht="12.75">
      <c r="F1472">
        <v>1471</v>
      </c>
      <c r="G1472" s="1">
        <f t="shared" si="23"/>
        <v>9.119579468755699</v>
      </c>
    </row>
    <row r="1473" spans="6:7" ht="12.75">
      <c r="F1473">
        <v>1472</v>
      </c>
      <c r="G1473" s="1">
        <f t="shared" si="23"/>
        <v>9.120484633592184</v>
      </c>
    </row>
    <row r="1474" spans="6:7" ht="12.75">
      <c r="F1474">
        <v>1473</v>
      </c>
      <c r="G1474" s="1">
        <f t="shared" si="23"/>
        <v>9.121383467575276</v>
      </c>
    </row>
    <row r="1475" spans="6:7" ht="12.75">
      <c r="F1475">
        <v>1474</v>
      </c>
      <c r="G1475" s="1">
        <f aca="true" t="shared" si="24" ref="G1475:G1538">cubic_spline($A$2:$A$24,$B$2:$B$24,F1475)</f>
        <v>9.122275526914803</v>
      </c>
    </row>
    <row r="1476" spans="6:7" ht="12.75">
      <c r="F1476">
        <v>1475</v>
      </c>
      <c r="G1476" s="1">
        <f t="shared" si="24"/>
        <v>9.123160367820597</v>
      </c>
    </row>
    <row r="1477" spans="6:7" ht="12.75">
      <c r="F1477">
        <v>1476</v>
      </c>
      <c r="G1477" s="1">
        <f t="shared" si="24"/>
        <v>9.124038977013962</v>
      </c>
    </row>
    <row r="1478" spans="6:7" ht="12.75">
      <c r="F1478">
        <v>1477</v>
      </c>
      <c r="G1478" s="1">
        <f t="shared" si="24"/>
        <v>9.124909961780851</v>
      </c>
    </row>
    <row r="1479" spans="6:7" ht="12.75">
      <c r="F1479">
        <v>1478</v>
      </c>
      <c r="G1479" s="1">
        <f t="shared" si="24"/>
        <v>9.125775252916087</v>
      </c>
    </row>
    <row r="1480" spans="6:7" ht="12.75">
      <c r="F1480">
        <v>1479</v>
      </c>
      <c r="G1480" s="1">
        <f t="shared" si="24"/>
        <v>9.126633934643198</v>
      </c>
    </row>
    <row r="1481" spans="6:7" ht="12.75">
      <c r="F1481">
        <v>1480</v>
      </c>
      <c r="G1481" s="1">
        <f t="shared" si="24"/>
        <v>9.127485563172016</v>
      </c>
    </row>
    <row r="1482" spans="6:7" ht="12.75">
      <c r="F1482">
        <v>1481</v>
      </c>
      <c r="G1482" s="1">
        <f t="shared" si="24"/>
        <v>9.128331125223845</v>
      </c>
    </row>
    <row r="1483" spans="6:7" ht="12.75">
      <c r="F1483">
        <v>1482</v>
      </c>
      <c r="G1483" s="1">
        <f t="shared" si="24"/>
        <v>9.129170177008511</v>
      </c>
    </row>
    <row r="1484" spans="6:7" ht="12.75">
      <c r="F1484">
        <v>1483</v>
      </c>
      <c r="G1484" s="1">
        <f t="shared" si="24"/>
        <v>9.130002274735853</v>
      </c>
    </row>
    <row r="1485" spans="6:7" ht="12.75">
      <c r="F1485">
        <v>1484</v>
      </c>
      <c r="G1485" s="1">
        <f t="shared" si="24"/>
        <v>9.130828405127168</v>
      </c>
    </row>
    <row r="1486" spans="6:7" ht="12.75">
      <c r="F1486">
        <v>1485</v>
      </c>
      <c r="G1486" s="1">
        <f t="shared" si="24"/>
        <v>9.131648124392287</v>
      </c>
    </row>
    <row r="1487" spans="6:7" ht="12.75">
      <c r="F1487">
        <v>1486</v>
      </c>
      <c r="G1487" s="1">
        <f t="shared" si="24"/>
        <v>9.132460515772992</v>
      </c>
    </row>
    <row r="1488" spans="6:7" ht="12.75">
      <c r="F1488">
        <v>1487</v>
      </c>
      <c r="G1488" s="1">
        <f t="shared" si="24"/>
        <v>9.133267511831257</v>
      </c>
    </row>
    <row r="1489" spans="6:7" ht="12.75">
      <c r="F1489">
        <v>1488</v>
      </c>
      <c r="G1489" s="1">
        <f t="shared" si="24"/>
        <v>9.13406771906763</v>
      </c>
    </row>
    <row r="1490" spans="6:7" ht="12.75">
      <c r="F1490">
        <v>1489</v>
      </c>
      <c r="G1490" s="1">
        <f t="shared" si="24"/>
        <v>9.134862124203417</v>
      </c>
    </row>
    <row r="1491" spans="6:7" ht="12.75">
      <c r="F1491">
        <v>1490</v>
      </c>
      <c r="G1491" s="1">
        <f t="shared" si="24"/>
        <v>9.135650283448452</v>
      </c>
    </row>
    <row r="1492" spans="6:7" ht="12.75">
      <c r="F1492">
        <v>1491</v>
      </c>
      <c r="G1492" s="1">
        <f t="shared" si="24"/>
        <v>9.136431753012562</v>
      </c>
    </row>
    <row r="1493" spans="6:7" ht="12.75">
      <c r="F1493">
        <v>1492</v>
      </c>
      <c r="G1493" s="1">
        <f t="shared" si="24"/>
        <v>9.137207519617052</v>
      </c>
    </row>
    <row r="1494" spans="6:7" ht="12.75">
      <c r="F1494">
        <v>1493</v>
      </c>
      <c r="G1494" s="1">
        <f t="shared" si="24"/>
        <v>9.137977139471753</v>
      </c>
    </row>
    <row r="1495" spans="6:7" ht="12.75">
      <c r="F1495">
        <v>1494</v>
      </c>
      <c r="G1495" s="1">
        <f t="shared" si="24"/>
        <v>9.138740168786494</v>
      </c>
    </row>
    <row r="1496" spans="6:7" ht="12.75">
      <c r="F1496">
        <v>1495</v>
      </c>
      <c r="G1496" s="1">
        <f t="shared" si="24"/>
        <v>9.13949759428258</v>
      </c>
    </row>
    <row r="1497" spans="6:7" ht="12.75">
      <c r="F1497">
        <v>1496</v>
      </c>
      <c r="G1497" s="1">
        <f t="shared" si="24"/>
        <v>9.140248021432717</v>
      </c>
    </row>
    <row r="1498" spans="6:7" ht="12.75">
      <c r="F1498">
        <v>1497</v>
      </c>
      <c r="G1498" s="1">
        <f t="shared" si="24"/>
        <v>9.140993384667691</v>
      </c>
    </row>
    <row r="1499" spans="6:7" ht="12.75">
      <c r="F1499">
        <v>1498</v>
      </c>
      <c r="G1499" s="1">
        <f t="shared" si="24"/>
        <v>9.141732766388316</v>
      </c>
    </row>
    <row r="1500" spans="6:7" ht="12.75">
      <c r="F1500">
        <v>1499</v>
      </c>
      <c r="G1500" s="1">
        <f t="shared" si="24"/>
        <v>9.14246572280442</v>
      </c>
    </row>
    <row r="1501" spans="6:7" ht="12.75">
      <c r="F1501">
        <v>1500</v>
      </c>
      <c r="G1501" s="1">
        <f t="shared" si="24"/>
        <v>9.143193240637311</v>
      </c>
    </row>
    <row r="1502" spans="6:7" ht="12.75">
      <c r="F1502">
        <v>1501</v>
      </c>
      <c r="G1502" s="1">
        <f t="shared" si="24"/>
        <v>9.143914399259655</v>
      </c>
    </row>
    <row r="1503" spans="6:7" ht="12.75">
      <c r="F1503">
        <v>1502</v>
      </c>
      <c r="G1503" s="1">
        <f t="shared" si="24"/>
        <v>9.144630185392764</v>
      </c>
    </row>
    <row r="1504" spans="6:7" ht="12.75">
      <c r="F1504">
        <v>1503</v>
      </c>
      <c r="G1504" s="1">
        <f t="shared" si="24"/>
        <v>9.145340155246462</v>
      </c>
    </row>
    <row r="1505" spans="6:7" ht="12.75">
      <c r="F1505">
        <v>1504</v>
      </c>
      <c r="G1505" s="1">
        <f t="shared" si="24"/>
        <v>9.146043865030583</v>
      </c>
    </row>
    <row r="1506" spans="6:7" ht="12.75">
      <c r="F1506">
        <v>1505</v>
      </c>
      <c r="G1506" s="1">
        <f t="shared" si="24"/>
        <v>9.146741826770352</v>
      </c>
    </row>
    <row r="1507" spans="6:7" ht="12.75">
      <c r="F1507">
        <v>1506</v>
      </c>
      <c r="G1507" s="1">
        <f t="shared" si="24"/>
        <v>9.14743454598179</v>
      </c>
    </row>
    <row r="1508" spans="6:7" ht="12.75">
      <c r="F1508">
        <v>1507</v>
      </c>
      <c r="G1508" s="1">
        <f t="shared" si="24"/>
        <v>9.148121104265114</v>
      </c>
    </row>
    <row r="1509" spans="6:7" ht="12.75">
      <c r="F1509">
        <v>1508</v>
      </c>
      <c r="G1509" s="1">
        <f t="shared" si="24"/>
        <v>9.148802488341625</v>
      </c>
    </row>
    <row r="1510" spans="6:7" ht="12.75">
      <c r="F1510">
        <v>1509</v>
      </c>
      <c r="G1510" s="1">
        <f t="shared" si="24"/>
        <v>9.149477777584</v>
      </c>
    </row>
    <row r="1511" spans="6:7" ht="12.75">
      <c r="F1511">
        <v>1510</v>
      </c>
      <c r="G1511" s="1">
        <f t="shared" si="24"/>
        <v>9.150147958713543</v>
      </c>
    </row>
    <row r="1512" spans="6:7" ht="12.75">
      <c r="F1512">
        <v>1511</v>
      </c>
      <c r="G1512" s="1">
        <f t="shared" si="24"/>
        <v>9.150812587940079</v>
      </c>
    </row>
    <row r="1513" spans="6:7" ht="12.75">
      <c r="F1513">
        <v>1512</v>
      </c>
      <c r="G1513" s="1">
        <f t="shared" si="24"/>
        <v>9.151471221473443</v>
      </c>
    </row>
    <row r="1514" spans="6:7" ht="12.75">
      <c r="F1514">
        <v>1513</v>
      </c>
      <c r="G1514" s="1">
        <f t="shared" si="24"/>
        <v>9.152124846034939</v>
      </c>
    </row>
    <row r="1515" spans="6:7" ht="12.75">
      <c r="F1515">
        <v>1514</v>
      </c>
      <c r="G1515" s="1">
        <f t="shared" si="24"/>
        <v>9.152773017834393</v>
      </c>
    </row>
    <row r="1516" spans="6:7" ht="12.75">
      <c r="F1516">
        <v>1515</v>
      </c>
      <c r="G1516" s="1">
        <f t="shared" si="24"/>
        <v>9.153414817548333</v>
      </c>
    </row>
    <row r="1517" spans="6:7" ht="12.75">
      <c r="F1517">
        <v>1516</v>
      </c>
      <c r="G1517" s="1">
        <f t="shared" si="24"/>
        <v>9.154052182883694</v>
      </c>
    </row>
    <row r="1518" spans="6:7" ht="12.75">
      <c r="F1518">
        <v>1517</v>
      </c>
      <c r="G1518" s="1">
        <f t="shared" si="24"/>
        <v>9.154683717761321</v>
      </c>
    </row>
    <row r="1519" spans="6:7" ht="12.75">
      <c r="F1519">
        <v>1518</v>
      </c>
      <c r="G1519" s="1">
        <f t="shared" si="24"/>
        <v>9.15531040890252</v>
      </c>
    </row>
    <row r="1520" spans="6:7" ht="12.75">
      <c r="F1520">
        <v>1519</v>
      </c>
      <c r="G1520" s="1">
        <f t="shared" si="24"/>
        <v>9.155931812517121</v>
      </c>
    </row>
    <row r="1521" spans="6:7" ht="12.75">
      <c r="F1521">
        <v>1520</v>
      </c>
      <c r="G1521" s="1">
        <f t="shared" si="24"/>
        <v>9.156547484814949</v>
      </c>
    </row>
    <row r="1522" spans="6:7" ht="12.75">
      <c r="F1522">
        <v>1521</v>
      </c>
      <c r="G1522" s="1">
        <f t="shared" si="24"/>
        <v>9.157158412517315</v>
      </c>
    </row>
    <row r="1523" spans="6:7" ht="12.75">
      <c r="F1523">
        <v>1522</v>
      </c>
      <c r="G1523" s="1">
        <f t="shared" si="24"/>
        <v>9.15776415183405</v>
      </c>
    </row>
    <row r="1524" spans="6:7" ht="12.75">
      <c r="F1524">
        <v>1523</v>
      </c>
      <c r="G1524" s="1">
        <f t="shared" si="24"/>
        <v>9.158364258974977</v>
      </c>
    </row>
    <row r="1525" spans="6:7" ht="12.75">
      <c r="F1525">
        <v>1524</v>
      </c>
      <c r="G1525" s="1">
        <f t="shared" si="24"/>
        <v>9.158959244417202</v>
      </c>
    </row>
    <row r="1526" spans="6:7" ht="12.75">
      <c r="F1526">
        <v>1525</v>
      </c>
      <c r="G1526" s="1">
        <f t="shared" si="24"/>
        <v>9.159549139945305</v>
      </c>
    </row>
    <row r="1527" spans="6:7" ht="12.75">
      <c r="F1527">
        <v>1526</v>
      </c>
      <c r="G1527" s="1">
        <f t="shared" si="24"/>
        <v>9.160134456113386</v>
      </c>
    </row>
    <row r="1528" spans="6:7" ht="12.75">
      <c r="F1528">
        <v>1527</v>
      </c>
      <c r="G1528" s="1">
        <f t="shared" si="24"/>
        <v>9.160714749131271</v>
      </c>
    </row>
    <row r="1529" spans="6:7" ht="12.75">
      <c r="F1529">
        <v>1528</v>
      </c>
      <c r="G1529" s="1">
        <f t="shared" si="24"/>
        <v>9.161289575208794</v>
      </c>
    </row>
    <row r="1530" spans="6:7" ht="12.75">
      <c r="F1530">
        <v>1529</v>
      </c>
      <c r="G1530" s="1">
        <f t="shared" si="24"/>
        <v>9.161859921067258</v>
      </c>
    </row>
    <row r="1531" spans="6:7" ht="12.75">
      <c r="F1531">
        <v>1530</v>
      </c>
      <c r="G1531" s="1">
        <f t="shared" si="24"/>
        <v>9.162425342916489</v>
      </c>
    </row>
    <row r="1532" spans="6:7" ht="12.75">
      <c r="F1532">
        <v>1531</v>
      </c>
      <c r="G1532" s="1">
        <f t="shared" si="24"/>
        <v>9.162985396966324</v>
      </c>
    </row>
    <row r="1533" spans="6:7" ht="12.75">
      <c r="F1533">
        <v>1532</v>
      </c>
      <c r="G1533" s="1">
        <f t="shared" si="24"/>
        <v>9.163541069938063</v>
      </c>
    </row>
    <row r="1534" spans="6:7" ht="12.75">
      <c r="F1534">
        <v>1533</v>
      </c>
      <c r="G1534" s="1">
        <f t="shared" si="24"/>
        <v>9.164090964289644</v>
      </c>
    </row>
    <row r="1535" spans="6:7" ht="12.75">
      <c r="F1535">
        <v>1534</v>
      </c>
      <c r="G1535" s="1">
        <f t="shared" si="24"/>
        <v>9.164637020499832</v>
      </c>
    </row>
    <row r="1536" spans="6:7" ht="12.75">
      <c r="F1536">
        <v>1535</v>
      </c>
      <c r="G1536" s="1">
        <f t="shared" si="24"/>
        <v>9.16517831793623</v>
      </c>
    </row>
    <row r="1537" spans="6:7" ht="12.75">
      <c r="F1537">
        <v>1536</v>
      </c>
      <c r="G1537" s="1">
        <f t="shared" si="24"/>
        <v>9.165714412808667</v>
      </c>
    </row>
    <row r="1538" spans="6:7" ht="12.75">
      <c r="F1538">
        <v>1537</v>
      </c>
      <c r="G1538" s="1">
        <f t="shared" si="24"/>
        <v>9.16624629183845</v>
      </c>
    </row>
    <row r="1539" spans="6:7" ht="12.75">
      <c r="F1539">
        <v>1538</v>
      </c>
      <c r="G1539" s="1">
        <f aca="true" t="shared" si="25" ref="G1539:G1602">cubic_spline($A$2:$A$24,$B$2:$B$24,F1539)</f>
        <v>9.166773511235409</v>
      </c>
    </row>
    <row r="1540" spans="6:7" ht="12.75">
      <c r="F1540">
        <v>1539</v>
      </c>
      <c r="G1540" s="1">
        <f t="shared" si="25"/>
        <v>9.167295627209372</v>
      </c>
    </row>
    <row r="1541" spans="6:7" ht="12.75">
      <c r="F1541">
        <v>1540</v>
      </c>
      <c r="G1541" s="1">
        <f t="shared" si="25"/>
        <v>9.167813626481644</v>
      </c>
    </row>
    <row r="1542" spans="6:7" ht="12.75">
      <c r="F1542">
        <v>1541</v>
      </c>
      <c r="G1542" s="1">
        <f t="shared" si="25"/>
        <v>9.168326588424902</v>
      </c>
    </row>
    <row r="1543" spans="6:7" ht="12.75">
      <c r="F1543">
        <v>1542</v>
      </c>
      <c r="G1543" s="1">
        <f t="shared" si="25"/>
        <v>9.168835499760442</v>
      </c>
    </row>
    <row r="1544" spans="6:7" ht="12.75">
      <c r="F1544">
        <v>1543</v>
      </c>
      <c r="G1544" s="1">
        <f t="shared" si="25"/>
        <v>9.169339439085677</v>
      </c>
    </row>
    <row r="1545" spans="6:7" ht="12.75">
      <c r="F1545">
        <v>1544</v>
      </c>
      <c r="G1545" s="1">
        <f t="shared" si="25"/>
        <v>9.169838917768256</v>
      </c>
    </row>
    <row r="1546" spans="6:7" ht="12.75">
      <c r="F1546">
        <v>1545</v>
      </c>
      <c r="G1546" s="1">
        <f t="shared" si="25"/>
        <v>9.170334444984583</v>
      </c>
    </row>
    <row r="1547" spans="6:7" ht="12.75">
      <c r="F1547">
        <v>1546</v>
      </c>
      <c r="G1547" s="1">
        <f t="shared" si="25"/>
        <v>9.17082557694449</v>
      </c>
    </row>
    <row r="1548" spans="6:7" ht="12.75">
      <c r="F1548">
        <v>1547</v>
      </c>
      <c r="G1548" s="1">
        <f t="shared" si="25"/>
        <v>9.171311869857808</v>
      </c>
    </row>
    <row r="1549" spans="6:7" ht="12.75">
      <c r="F1549">
        <v>1548</v>
      </c>
      <c r="G1549" s="1">
        <f t="shared" si="25"/>
        <v>9.171794310445842</v>
      </c>
    </row>
    <row r="1550" spans="6:7" ht="12.75">
      <c r="F1550">
        <v>1549</v>
      </c>
      <c r="G1550" s="1">
        <f t="shared" si="25"/>
        <v>9.17227197808126</v>
      </c>
    </row>
    <row r="1551" spans="6:7" ht="12.75">
      <c r="F1551">
        <v>1550</v>
      </c>
      <c r="G1551" s="1">
        <f t="shared" si="25"/>
        <v>9.172745859485373</v>
      </c>
    </row>
    <row r="1552" spans="6:7" ht="12.75">
      <c r="F1552">
        <v>1551</v>
      </c>
      <c r="G1552" s="1">
        <f t="shared" si="25"/>
        <v>9.173215510868005</v>
      </c>
    </row>
    <row r="1553" spans="6:7" ht="12.75">
      <c r="F1553">
        <v>1552</v>
      </c>
      <c r="G1553" s="1">
        <f t="shared" si="25"/>
        <v>9.173680487758698</v>
      </c>
    </row>
    <row r="1554" spans="6:7" ht="12.75">
      <c r="F1554">
        <v>1553</v>
      </c>
      <c r="G1554" s="1">
        <f t="shared" si="25"/>
        <v>9.17414130137091</v>
      </c>
    </row>
    <row r="1555" spans="6:7" ht="12.75">
      <c r="F1555">
        <v>1554</v>
      </c>
      <c r="G1555" s="1">
        <f t="shared" si="25"/>
        <v>9.174598460197432</v>
      </c>
    </row>
    <row r="1556" spans="6:7" ht="12.75">
      <c r="F1556">
        <v>1555</v>
      </c>
      <c r="G1556" s="1">
        <f t="shared" si="25"/>
        <v>9.175051045065327</v>
      </c>
    </row>
    <row r="1557" spans="6:7" ht="12.75">
      <c r="F1557">
        <v>1556</v>
      </c>
      <c r="G1557" s="1">
        <f t="shared" si="25"/>
        <v>9.175500041984343</v>
      </c>
    </row>
    <row r="1558" spans="6:7" ht="12.75">
      <c r="F1558">
        <v>1557</v>
      </c>
      <c r="G1558" s="1">
        <f t="shared" si="25"/>
        <v>9.175944530327152</v>
      </c>
    </row>
    <row r="1559" spans="6:7" ht="12.75">
      <c r="F1559">
        <v>1558</v>
      </c>
      <c r="G1559" s="1">
        <f t="shared" si="25"/>
        <v>9.176385496815055</v>
      </c>
    </row>
    <row r="1560" spans="6:7" ht="12.75">
      <c r="F1560">
        <v>1559</v>
      </c>
      <c r="G1560" s="1">
        <f t="shared" si="25"/>
        <v>9.17682201992677</v>
      </c>
    </row>
    <row r="1561" spans="6:7" ht="12.75">
      <c r="F1561">
        <v>1560</v>
      </c>
      <c r="G1561" s="1">
        <f t="shared" si="25"/>
        <v>9.177255088141987</v>
      </c>
    </row>
    <row r="1562" spans="6:7" ht="12.75">
      <c r="F1562">
        <v>1561</v>
      </c>
      <c r="G1562" s="1">
        <f t="shared" si="25"/>
        <v>9.177683779969197</v>
      </c>
    </row>
    <row r="1563" spans="6:7" ht="12.75">
      <c r="F1563">
        <v>1562</v>
      </c>
      <c r="G1563" s="1">
        <f t="shared" si="25"/>
        <v>9.178109082129705</v>
      </c>
    </row>
    <row r="1564" spans="6:7" ht="12.75">
      <c r="F1564">
        <v>1563</v>
      </c>
      <c r="G1564" s="1">
        <f t="shared" si="25"/>
        <v>9.178530550833344</v>
      </c>
    </row>
    <row r="1565" spans="6:7" ht="12.75">
      <c r="F1565">
        <v>1564</v>
      </c>
      <c r="G1565" s="1">
        <f t="shared" si="25"/>
        <v>9.17894774125084</v>
      </c>
    </row>
    <row r="1566" spans="6:7" ht="12.75">
      <c r="F1566">
        <v>1565</v>
      </c>
      <c r="G1566" s="1">
        <f t="shared" si="25"/>
        <v>9.179361165316259</v>
      </c>
    </row>
    <row r="1567" spans="6:7" ht="12.75">
      <c r="F1567">
        <v>1566</v>
      </c>
      <c r="G1567" s="1">
        <f t="shared" si="25"/>
        <v>9.17977133190318</v>
      </c>
    </row>
    <row r="1568" spans="6:7" ht="12.75">
      <c r="F1568">
        <v>1567</v>
      </c>
      <c r="G1568" s="1">
        <f t="shared" si="25"/>
        <v>9.180177558802853</v>
      </c>
    </row>
    <row r="1569" spans="6:7" ht="12.75">
      <c r="F1569">
        <v>1568</v>
      </c>
      <c r="G1569" s="1">
        <f t="shared" si="25"/>
        <v>9.18058011633011</v>
      </c>
    </row>
    <row r="1570" spans="6:7" ht="12.75">
      <c r="F1570">
        <v>1569</v>
      </c>
      <c r="G1570" s="1">
        <f t="shared" si="25"/>
        <v>9.180979039806129</v>
      </c>
    </row>
    <row r="1571" spans="6:7" ht="12.75">
      <c r="F1571">
        <v>1570</v>
      </c>
      <c r="G1571" s="1">
        <f t="shared" si="25"/>
        <v>9.181374361154687</v>
      </c>
    </row>
    <row r="1572" spans="6:7" ht="12.75">
      <c r="F1572">
        <v>1571</v>
      </c>
      <c r="G1572" s="1">
        <f t="shared" si="25"/>
        <v>9.181766113422778</v>
      </c>
    </row>
    <row r="1573" spans="6:7" ht="12.75">
      <c r="F1573">
        <v>1572</v>
      </c>
      <c r="G1573" s="1">
        <f t="shared" si="25"/>
        <v>9.182154568075973</v>
      </c>
    </row>
    <row r="1574" spans="6:7" ht="12.75">
      <c r="F1574">
        <v>1573</v>
      </c>
      <c r="G1574" s="1">
        <f t="shared" si="25"/>
        <v>9.182539041620855</v>
      </c>
    </row>
    <row r="1575" spans="6:7" ht="12.75">
      <c r="F1575">
        <v>1574</v>
      </c>
      <c r="G1575" s="1">
        <f t="shared" si="25"/>
        <v>9.182920284903437</v>
      </c>
    </row>
    <row r="1576" spans="6:7" ht="12.75">
      <c r="F1576">
        <v>1575</v>
      </c>
      <c r="G1576" s="1">
        <f t="shared" si="25"/>
        <v>9.183298091293757</v>
      </c>
    </row>
    <row r="1577" spans="6:7" ht="12.75">
      <c r="F1577">
        <v>1576</v>
      </c>
      <c r="G1577" s="1">
        <f t="shared" si="25"/>
        <v>9.18367273225738</v>
      </c>
    </row>
    <row r="1578" spans="6:7" ht="12.75">
      <c r="F1578">
        <v>1577</v>
      </c>
      <c r="G1578" s="1">
        <f t="shared" si="25"/>
        <v>9.184043764004134</v>
      </c>
    </row>
    <row r="1579" spans="6:7" ht="12.75">
      <c r="F1579">
        <v>1578</v>
      </c>
      <c r="G1579" s="1">
        <f t="shared" si="25"/>
        <v>9.184411218168643</v>
      </c>
    </row>
    <row r="1580" spans="6:7" ht="12.75">
      <c r="F1580">
        <v>1579</v>
      </c>
      <c r="G1580" s="1">
        <f t="shared" si="25"/>
        <v>9.184775607434997</v>
      </c>
    </row>
    <row r="1581" spans="6:7" ht="12.75">
      <c r="F1581">
        <v>1580</v>
      </c>
      <c r="G1581" s="1">
        <f t="shared" si="25"/>
        <v>9.185136963462853</v>
      </c>
    </row>
    <row r="1582" spans="6:7" ht="12.75">
      <c r="F1582">
        <v>1581</v>
      </c>
      <c r="G1582" s="1">
        <f t="shared" si="25"/>
        <v>9.185494842462044</v>
      </c>
    </row>
    <row r="1583" spans="6:7" ht="12.75">
      <c r="F1583">
        <v>1582</v>
      </c>
      <c r="G1583" s="1">
        <f t="shared" si="25"/>
        <v>9.185849275969517</v>
      </c>
    </row>
    <row r="1584" spans="6:7" ht="12.75">
      <c r="F1584">
        <v>1583</v>
      </c>
      <c r="G1584" s="1">
        <f t="shared" si="25"/>
        <v>9.186200776865707</v>
      </c>
    </row>
    <row r="1585" spans="6:7" ht="12.75">
      <c r="F1585">
        <v>1584</v>
      </c>
      <c r="G1585" s="1">
        <f t="shared" si="25"/>
        <v>9.186549376711604</v>
      </c>
    </row>
    <row r="1586" spans="6:7" ht="12.75">
      <c r="F1586">
        <v>1585</v>
      </c>
      <c r="G1586" s="1">
        <f t="shared" si="25"/>
        <v>9.186894631717042</v>
      </c>
    </row>
    <row r="1587" spans="6:7" ht="12.75">
      <c r="F1587">
        <v>1586</v>
      </c>
      <c r="G1587" s="1">
        <f t="shared" si="25"/>
        <v>9.187236813347582</v>
      </c>
    </row>
    <row r="1588" spans="6:7" ht="12.75">
      <c r="F1588">
        <v>1587</v>
      </c>
      <c r="G1588" s="1">
        <f t="shared" si="25"/>
        <v>9.187575714605103</v>
      </c>
    </row>
    <row r="1589" spans="6:7" ht="12.75">
      <c r="F1589">
        <v>1588</v>
      </c>
      <c r="G1589" s="1">
        <f t="shared" si="25"/>
        <v>9.18791208702285</v>
      </c>
    </row>
    <row r="1590" spans="6:7" ht="12.75">
      <c r="F1590">
        <v>1589</v>
      </c>
      <c r="G1590" s="1">
        <f t="shared" si="25"/>
        <v>9.188245246788334</v>
      </c>
    </row>
    <row r="1591" spans="6:7" ht="12.75">
      <c r="F1591">
        <v>1590</v>
      </c>
      <c r="G1591" s="1">
        <f t="shared" si="25"/>
        <v>9.188575465367125</v>
      </c>
    </row>
    <row r="1592" spans="6:7" ht="12.75">
      <c r="F1592">
        <v>1591</v>
      </c>
      <c r="G1592" s="1">
        <f t="shared" si="25"/>
        <v>9.188902775806213</v>
      </c>
    </row>
    <row r="1593" spans="6:7" ht="12.75">
      <c r="F1593">
        <v>1592</v>
      </c>
      <c r="G1593" s="1">
        <f t="shared" si="25"/>
        <v>9.189227209415794</v>
      </c>
    </row>
    <row r="1594" spans="6:7" ht="12.75">
      <c r="F1594">
        <v>1593</v>
      </c>
      <c r="G1594" s="1">
        <f t="shared" si="25"/>
        <v>9.189548802695132</v>
      </c>
    </row>
    <row r="1595" spans="6:7" ht="12.75">
      <c r="F1595">
        <v>1594</v>
      </c>
      <c r="G1595" s="1">
        <f t="shared" si="25"/>
        <v>9.189867586975982</v>
      </c>
    </row>
    <row r="1596" spans="6:7" ht="12.75">
      <c r="F1596">
        <v>1595</v>
      </c>
      <c r="G1596" s="1">
        <f t="shared" si="25"/>
        <v>9.190183595305331</v>
      </c>
    </row>
    <row r="1597" spans="6:7" ht="12.75">
      <c r="F1597">
        <v>1596</v>
      </c>
      <c r="G1597" s="1">
        <f t="shared" si="25"/>
        <v>9.190497099148743</v>
      </c>
    </row>
    <row r="1598" spans="6:7" ht="12.75">
      <c r="F1598">
        <v>1597</v>
      </c>
      <c r="G1598" s="1">
        <f t="shared" si="25"/>
        <v>9.19080741445665</v>
      </c>
    </row>
    <row r="1599" spans="6:7" ht="12.75">
      <c r="F1599">
        <v>1598</v>
      </c>
      <c r="G1599" s="1">
        <f t="shared" si="25"/>
        <v>9.191115293193366</v>
      </c>
    </row>
    <row r="1600" spans="6:7" ht="12.75">
      <c r="F1600">
        <v>1599</v>
      </c>
      <c r="G1600" s="1">
        <f t="shared" si="25"/>
        <v>9.191420528166779</v>
      </c>
    </row>
    <row r="1601" spans="6:7" ht="12.75">
      <c r="F1601">
        <v>1600</v>
      </c>
      <c r="G1601" s="1">
        <f t="shared" si="25"/>
        <v>9.19172339084246</v>
      </c>
    </row>
    <row r="1602" spans="6:7" ht="12.75">
      <c r="F1602">
        <v>1601</v>
      </c>
      <c r="G1602" s="1">
        <f t="shared" si="25"/>
        <v>9.1920231970921</v>
      </c>
    </row>
    <row r="1603" spans="6:7" ht="12.75">
      <c r="F1603">
        <v>1602</v>
      </c>
      <c r="G1603" s="1">
        <f aca="true" t="shared" si="26" ref="G1603:G1666">cubic_spline($A$2:$A$24,$B$2:$B$24,F1603)</f>
        <v>9.192320699038484</v>
      </c>
    </row>
    <row r="1604" spans="6:7" ht="12.75">
      <c r="F1604">
        <v>1603</v>
      </c>
      <c r="G1604" s="1">
        <f t="shared" si="26"/>
        <v>9.19261568940977</v>
      </c>
    </row>
    <row r="1605" spans="6:7" ht="12.75">
      <c r="F1605">
        <v>1604</v>
      </c>
      <c r="G1605" s="1">
        <f t="shared" si="26"/>
        <v>9.192908439671529</v>
      </c>
    </row>
    <row r="1606" spans="6:7" ht="12.75">
      <c r="F1606">
        <v>1605</v>
      </c>
      <c r="G1606" s="1">
        <f t="shared" si="26"/>
        <v>9.193198506033584</v>
      </c>
    </row>
    <row r="1607" spans="6:7" ht="12.75">
      <c r="F1607">
        <v>1606</v>
      </c>
      <c r="G1607" s="1">
        <f t="shared" si="26"/>
        <v>9.193485919530549</v>
      </c>
    </row>
    <row r="1608" spans="6:7" ht="12.75">
      <c r="F1608">
        <v>1607</v>
      </c>
      <c r="G1608" s="1">
        <f t="shared" si="26"/>
        <v>9.193771194053515</v>
      </c>
    </row>
    <row r="1609" spans="6:7" ht="12.75">
      <c r="F1609">
        <v>1608</v>
      </c>
      <c r="G1609" s="1">
        <f t="shared" si="26"/>
        <v>9.194054360655151</v>
      </c>
    </row>
    <row r="1610" spans="6:7" ht="12.75">
      <c r="F1610">
        <v>1609</v>
      </c>
      <c r="G1610" s="1">
        <f t="shared" si="26"/>
        <v>9.19433497554529</v>
      </c>
    </row>
    <row r="1611" spans="6:7" ht="12.75">
      <c r="F1611">
        <v>1610</v>
      </c>
      <c r="G1611" s="1">
        <f t="shared" si="26"/>
        <v>9.194613310189501</v>
      </c>
    </row>
    <row r="1612" spans="6:7" ht="12.75">
      <c r="F1612">
        <v>1611</v>
      </c>
      <c r="G1612" s="1">
        <f t="shared" si="26"/>
        <v>9.194889157117224</v>
      </c>
    </row>
    <row r="1613" spans="6:7" ht="12.75">
      <c r="F1613">
        <v>1612</v>
      </c>
      <c r="G1613" s="1">
        <f t="shared" si="26"/>
        <v>9.195163268812546</v>
      </c>
    </row>
    <row r="1614" spans="6:7" ht="12.75">
      <c r="F1614">
        <v>1613</v>
      </c>
      <c r="G1614" s="1">
        <f t="shared" si="26"/>
        <v>9.195434960984576</v>
      </c>
    </row>
    <row r="1615" spans="6:7" ht="12.75">
      <c r="F1615">
        <v>1614</v>
      </c>
      <c r="G1615" s="1">
        <f t="shared" si="26"/>
        <v>9.19570450509888</v>
      </c>
    </row>
    <row r="1616" spans="6:7" ht="12.75">
      <c r="F1616">
        <v>1615</v>
      </c>
      <c r="G1616" s="1">
        <f t="shared" si="26"/>
        <v>9.195971933120564</v>
      </c>
    </row>
    <row r="1617" spans="6:7" ht="12.75">
      <c r="F1617">
        <v>1616</v>
      </c>
      <c r="G1617" s="1">
        <f t="shared" si="26"/>
        <v>9.196237279162924</v>
      </c>
    </row>
    <row r="1618" spans="6:7" ht="12.75">
      <c r="F1618">
        <v>1617</v>
      </c>
      <c r="G1618" s="1">
        <f t="shared" si="26"/>
        <v>9.196500577370648</v>
      </c>
    </row>
    <row r="1619" spans="6:7" ht="12.75">
      <c r="F1619">
        <v>1618</v>
      </c>
      <c r="G1619" s="1">
        <f t="shared" si="26"/>
        <v>9.196761859708849</v>
      </c>
    </row>
    <row r="1620" spans="6:7" ht="12.75">
      <c r="F1620">
        <v>1619</v>
      </c>
      <c r="G1620" s="1">
        <f t="shared" si="26"/>
        <v>9.197021158112236</v>
      </c>
    </row>
    <row r="1621" spans="6:7" ht="12.75">
      <c r="F1621">
        <v>1620</v>
      </c>
      <c r="G1621" s="1">
        <f t="shared" si="26"/>
        <v>9.197278507845061</v>
      </c>
    </row>
    <row r="1622" spans="6:7" ht="12.75">
      <c r="F1622">
        <v>1621</v>
      </c>
      <c r="G1622" s="1">
        <f t="shared" si="26"/>
        <v>9.197533939722721</v>
      </c>
    </row>
    <row r="1623" spans="6:7" ht="12.75">
      <c r="F1623">
        <v>1622</v>
      </c>
      <c r="G1623" s="1">
        <f t="shared" si="26"/>
        <v>9.197787489038623</v>
      </c>
    </row>
    <row r="1624" spans="6:7" ht="12.75">
      <c r="F1624">
        <v>1623</v>
      </c>
      <c r="G1624" s="1">
        <f t="shared" si="26"/>
        <v>9.198039186579512</v>
      </c>
    </row>
    <row r="1625" spans="6:7" ht="12.75">
      <c r="F1625">
        <v>1624</v>
      </c>
      <c r="G1625" s="1">
        <f t="shared" si="26"/>
        <v>9.198289067666943</v>
      </c>
    </row>
    <row r="1626" spans="6:7" ht="12.75">
      <c r="F1626">
        <v>1625</v>
      </c>
      <c r="G1626" s="1">
        <f t="shared" si="26"/>
        <v>9.19853728342343</v>
      </c>
    </row>
    <row r="1627" spans="6:7" ht="12.75">
      <c r="F1627">
        <v>1626</v>
      </c>
      <c r="G1627" s="1">
        <f t="shared" si="26"/>
        <v>9.198783508107416</v>
      </c>
    </row>
    <row r="1628" spans="6:7" ht="12.75">
      <c r="F1628">
        <v>1627</v>
      </c>
      <c r="G1628" s="1">
        <f t="shared" si="26"/>
        <v>9.199028253917987</v>
      </c>
    </row>
    <row r="1629" spans="6:7" ht="12.75">
      <c r="F1629">
        <v>1628</v>
      </c>
      <c r="G1629" s="1">
        <f t="shared" si="26"/>
        <v>9.199271074737448</v>
      </c>
    </row>
    <row r="1630" spans="6:7" ht="12.75">
      <c r="F1630">
        <v>1629</v>
      </c>
      <c r="G1630" s="1">
        <f t="shared" si="26"/>
        <v>9.199512482790551</v>
      </c>
    </row>
    <row r="1631" spans="6:7" ht="12.75">
      <c r="F1631">
        <v>1630</v>
      </c>
      <c r="G1631" s="1">
        <f t="shared" si="26"/>
        <v>9.199752031934437</v>
      </c>
    </row>
    <row r="1632" spans="6:7" ht="12.75">
      <c r="F1632">
        <v>1631</v>
      </c>
      <c r="G1632" s="1">
        <f t="shared" si="26"/>
        <v>9.199990234418525</v>
      </c>
    </row>
    <row r="1633" spans="6:7" ht="12.75">
      <c r="F1633">
        <v>1632</v>
      </c>
      <c r="G1633" s="1">
        <f t="shared" si="26"/>
        <v>9.200226764482384</v>
      </c>
    </row>
    <row r="1634" spans="6:7" ht="12.75">
      <c r="F1634">
        <v>1633</v>
      </c>
      <c r="G1634" s="1">
        <f t="shared" si="26"/>
        <v>9.200461773179311</v>
      </c>
    </row>
    <row r="1635" spans="6:7" ht="12.75">
      <c r="F1635">
        <v>1634</v>
      </c>
      <c r="G1635" s="1">
        <f t="shared" si="26"/>
        <v>9.200695295956706</v>
      </c>
    </row>
    <row r="1636" spans="6:7" ht="12.75">
      <c r="F1636">
        <v>1635</v>
      </c>
      <c r="G1636" s="1">
        <f t="shared" si="26"/>
        <v>9.200927363450308</v>
      </c>
    </row>
    <row r="1637" spans="6:7" ht="12.75">
      <c r="F1637">
        <v>1636</v>
      </c>
      <c r="G1637" s="1">
        <f t="shared" si="26"/>
        <v>9.201158011129692</v>
      </c>
    </row>
    <row r="1638" spans="6:7" ht="12.75">
      <c r="F1638">
        <v>1637</v>
      </c>
      <c r="G1638" s="1">
        <f t="shared" si="26"/>
        <v>9.201387390042616</v>
      </c>
    </row>
    <row r="1639" spans="6:7" ht="12.75">
      <c r="F1639">
        <v>1638</v>
      </c>
      <c r="G1639" s="1">
        <f t="shared" si="26"/>
        <v>9.201615174378746</v>
      </c>
    </row>
    <row r="1640" spans="6:7" ht="12.75">
      <c r="F1640">
        <v>1639</v>
      </c>
      <c r="G1640" s="1">
        <f t="shared" si="26"/>
        <v>9.201841876476212</v>
      </c>
    </row>
    <row r="1641" spans="6:7" ht="12.75">
      <c r="F1641">
        <v>1640</v>
      </c>
      <c r="G1641" s="1">
        <f t="shared" si="26"/>
        <v>9.202067050081267</v>
      </c>
    </row>
    <row r="1642" spans="6:7" ht="12.75">
      <c r="F1642">
        <v>1641</v>
      </c>
      <c r="G1642" s="1">
        <f t="shared" si="26"/>
        <v>9.202291207551722</v>
      </c>
    </row>
    <row r="1643" spans="6:7" ht="12.75">
      <c r="F1643">
        <v>1642</v>
      </c>
      <c r="G1643" s="1">
        <f t="shared" si="26"/>
        <v>9.202513902614657</v>
      </c>
    </row>
    <row r="1644" spans="6:7" ht="12.75">
      <c r="F1644">
        <v>1643</v>
      </c>
      <c r="G1644" s="1">
        <f t="shared" si="26"/>
        <v>9.202735647646557</v>
      </c>
    </row>
    <row r="1645" spans="6:7" ht="12.75">
      <c r="F1645">
        <v>1644</v>
      </c>
      <c r="G1645" s="1">
        <f t="shared" si="26"/>
        <v>9.20295611682271</v>
      </c>
    </row>
    <row r="1646" spans="6:7" ht="12.75">
      <c r="F1646">
        <v>1645</v>
      </c>
      <c r="G1646" s="1">
        <f t="shared" si="26"/>
        <v>9.203175461138112</v>
      </c>
    </row>
    <row r="1647" spans="6:7" ht="12.75">
      <c r="F1647">
        <v>1646</v>
      </c>
      <c r="G1647" s="1">
        <f t="shared" si="26"/>
        <v>9.203393716158264</v>
      </c>
    </row>
    <row r="1648" spans="6:7" ht="12.75">
      <c r="F1648">
        <v>1647</v>
      </c>
      <c r="G1648" s="1">
        <f t="shared" si="26"/>
        <v>9.203610912403791</v>
      </c>
    </row>
    <row r="1649" spans="6:7" ht="12.75">
      <c r="F1649">
        <v>1648</v>
      </c>
      <c r="G1649" s="1">
        <f t="shared" si="26"/>
        <v>9.203827085456389</v>
      </c>
    </row>
    <row r="1650" spans="6:7" ht="12.75">
      <c r="F1650">
        <v>1649</v>
      </c>
      <c r="G1650" s="1">
        <f t="shared" si="26"/>
        <v>9.204042266459357</v>
      </c>
    </row>
    <row r="1651" spans="6:7" ht="12.75">
      <c r="F1651">
        <v>1650</v>
      </c>
      <c r="G1651" s="1">
        <f t="shared" si="26"/>
        <v>9.204256489094492</v>
      </c>
    </row>
    <row r="1652" spans="6:7" ht="12.75">
      <c r="F1652">
        <v>1651</v>
      </c>
      <c r="G1652" s="1">
        <f t="shared" si="26"/>
        <v>9.204469786408971</v>
      </c>
    </row>
    <row r="1653" spans="6:7" ht="12.75">
      <c r="F1653">
        <v>1652</v>
      </c>
      <c r="G1653" s="1">
        <f t="shared" si="26"/>
        <v>9.204682191449972</v>
      </c>
    </row>
    <row r="1654" spans="6:7" ht="12.75">
      <c r="F1654">
        <v>1653</v>
      </c>
      <c r="G1654" s="1">
        <f t="shared" si="26"/>
        <v>9.204893737264666</v>
      </c>
    </row>
    <row r="1655" spans="6:7" ht="12.75">
      <c r="F1655">
        <v>1654</v>
      </c>
      <c r="G1655" s="1">
        <f t="shared" si="26"/>
        <v>9.20510445690023</v>
      </c>
    </row>
    <row r="1656" spans="6:7" ht="12.75">
      <c r="F1656">
        <v>1655</v>
      </c>
      <c r="G1656" s="1">
        <f t="shared" si="26"/>
        <v>9.205314443656565</v>
      </c>
    </row>
    <row r="1657" spans="6:7" ht="12.75">
      <c r="F1657">
        <v>1656</v>
      </c>
      <c r="G1657" s="1">
        <f t="shared" si="26"/>
        <v>9.205523610076796</v>
      </c>
    </row>
    <row r="1658" spans="6:7" ht="12.75">
      <c r="F1658">
        <v>1657</v>
      </c>
      <c r="G1658" s="1">
        <f t="shared" si="26"/>
        <v>9.20573204945936</v>
      </c>
    </row>
    <row r="1659" spans="6:7" ht="12.75">
      <c r="F1659">
        <v>1658</v>
      </c>
      <c r="G1659" s="1">
        <f t="shared" si="26"/>
        <v>9.205939794851432</v>
      </c>
    </row>
    <row r="1660" spans="6:7" ht="12.75">
      <c r="F1660">
        <v>1659</v>
      </c>
      <c r="G1660" s="1">
        <f t="shared" si="26"/>
        <v>9.206146879300187</v>
      </c>
    </row>
    <row r="1661" spans="6:7" ht="12.75">
      <c r="F1661">
        <v>1660</v>
      </c>
      <c r="G1661" s="1">
        <f t="shared" si="26"/>
        <v>9.2063533358528</v>
      </c>
    </row>
    <row r="1662" spans="6:7" ht="12.75">
      <c r="F1662">
        <v>1661</v>
      </c>
      <c r="G1662" s="1">
        <f t="shared" si="26"/>
        <v>9.206559257816652</v>
      </c>
    </row>
    <row r="1663" spans="6:7" ht="12.75">
      <c r="F1663">
        <v>1662</v>
      </c>
      <c r="G1663" s="1">
        <f t="shared" si="26"/>
        <v>9.206764557719536</v>
      </c>
    </row>
    <row r="1664" spans="6:7" ht="12.75">
      <c r="F1664">
        <v>1663</v>
      </c>
      <c r="G1664" s="1">
        <f t="shared" si="26"/>
        <v>9.206969328867743</v>
      </c>
    </row>
    <row r="1665" spans="6:7" ht="12.75">
      <c r="F1665">
        <v>1664</v>
      </c>
      <c r="G1665" s="1">
        <f t="shared" si="26"/>
        <v>9.207173604308444</v>
      </c>
    </row>
    <row r="1666" spans="6:7" ht="12.75">
      <c r="F1666">
        <v>1665</v>
      </c>
      <c r="G1666" s="1">
        <f t="shared" si="26"/>
        <v>9.20737741708882</v>
      </c>
    </row>
    <row r="1667" spans="6:7" ht="12.75">
      <c r="F1667">
        <v>1666</v>
      </c>
      <c r="G1667" s="1">
        <f aca="true" t="shared" si="27" ref="G1667:G1679">cubic_spline($A$2:$A$24,$B$2:$B$24,F1667)</f>
        <v>9.207580800256043</v>
      </c>
    </row>
    <row r="1668" spans="6:7" ht="12.75">
      <c r="F1668">
        <v>1667</v>
      </c>
      <c r="G1668" s="1">
        <f t="shared" si="27"/>
        <v>9.207783816990004</v>
      </c>
    </row>
    <row r="1669" spans="6:7" ht="12.75">
      <c r="F1669">
        <v>1668</v>
      </c>
      <c r="G1669" s="1">
        <f t="shared" si="27"/>
        <v>9.207986440072775</v>
      </c>
    </row>
    <row r="1670" spans="6:7" ht="12.75">
      <c r="F1670">
        <v>1669</v>
      </c>
      <c r="G1670" s="1">
        <f t="shared" si="27"/>
        <v>9.208188732683885</v>
      </c>
    </row>
    <row r="1671" spans="6:7" ht="12.75">
      <c r="F1671">
        <v>1670</v>
      </c>
      <c r="G1671" s="1">
        <f t="shared" si="27"/>
        <v>9.20839075800412</v>
      </c>
    </row>
    <row r="1672" spans="6:7" ht="12.75">
      <c r="F1672">
        <v>1671</v>
      </c>
      <c r="G1672" s="1">
        <f t="shared" si="27"/>
        <v>9.208592488813673</v>
      </c>
    </row>
    <row r="1673" spans="6:7" ht="12.75">
      <c r="F1673">
        <v>1672</v>
      </c>
      <c r="G1673" s="1">
        <f t="shared" si="27"/>
        <v>9.208793988293062</v>
      </c>
    </row>
    <row r="1674" spans="6:7" ht="12.75">
      <c r="F1674">
        <v>1673</v>
      </c>
      <c r="G1674" s="1">
        <f t="shared" si="27"/>
        <v>9.20899530455657</v>
      </c>
    </row>
    <row r="1675" spans="6:7" ht="12.75">
      <c r="F1675">
        <v>1674</v>
      </c>
      <c r="G1675" s="1">
        <f t="shared" si="27"/>
        <v>9.209196455584403</v>
      </c>
    </row>
    <row r="1676" spans="6:7" ht="12.75">
      <c r="F1676">
        <v>1675</v>
      </c>
      <c r="G1676" s="1">
        <f t="shared" si="27"/>
        <v>9.209397459356461</v>
      </c>
    </row>
    <row r="1677" spans="6:7" ht="12.75">
      <c r="F1677">
        <v>1676</v>
      </c>
      <c r="G1677" s="1">
        <f t="shared" si="27"/>
        <v>9.209598379054295</v>
      </c>
    </row>
    <row r="1678" spans="6:7" ht="12.75">
      <c r="F1678">
        <v>1677</v>
      </c>
      <c r="G1678" s="1">
        <f t="shared" si="27"/>
        <v>9.20979922512421</v>
      </c>
    </row>
    <row r="1679" spans="6:7" ht="12.75">
      <c r="F1679">
        <v>1678</v>
      </c>
      <c r="G1679" s="1">
        <f t="shared" si="27"/>
        <v>9.210000038146973</v>
      </c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G1:W102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9.28125" style="0" customWidth="1"/>
    <col min="6" max="6" width="13.8515625" style="0" customWidth="1"/>
    <col min="7" max="7" width="11.28125" style="0" customWidth="1"/>
    <col min="8" max="8" width="12.7109375" style="0" customWidth="1"/>
    <col min="9" max="9" width="11.28125" style="0" bestFit="1" customWidth="1"/>
    <col min="10" max="10" width="13.140625" style="0" customWidth="1"/>
    <col min="11" max="11" width="14.00390625" style="0" bestFit="1" customWidth="1"/>
    <col min="12" max="12" width="12.421875" style="0" customWidth="1"/>
    <col min="13" max="13" width="13.140625" style="0" bestFit="1" customWidth="1"/>
    <col min="14" max="14" width="12.00390625" style="0" bestFit="1" customWidth="1"/>
    <col min="15" max="15" width="14.00390625" style="0" bestFit="1" customWidth="1"/>
    <col min="17" max="17" width="10.7109375" style="0" customWidth="1"/>
  </cols>
  <sheetData>
    <row r="1" spans="9:14" ht="12.75">
      <c r="I1" s="17">
        <v>41276</v>
      </c>
      <c r="K1" s="3" t="s">
        <v>31</v>
      </c>
      <c r="L1" s="3" t="s">
        <v>2</v>
      </c>
      <c r="M1" s="3" t="s">
        <v>4</v>
      </c>
      <c r="N1" s="3" t="s">
        <v>24</v>
      </c>
    </row>
    <row r="2" spans="9:12" ht="12.75">
      <c r="I2" s="16">
        <v>41409</v>
      </c>
      <c r="J2" s="23">
        <f>_XLL.DIATRABALHOTOTAL($I$1,I2,Feriado!$A$1:$L$68)-1</f>
        <v>91</v>
      </c>
      <c r="K2" s="24">
        <v>7.05</v>
      </c>
      <c r="L2" s="1">
        <v>7.26</v>
      </c>
    </row>
    <row r="3" spans="9:12" ht="12.75">
      <c r="I3" s="16">
        <v>37865</v>
      </c>
      <c r="J3" s="23">
        <f>_XLL.DIATRABALHOTOTAL($I$1,I3,Feriado!$A$1:$L$68)-1</f>
        <v>-2398</v>
      </c>
      <c r="K3" s="24">
        <v>23.87</v>
      </c>
      <c r="L3" s="1">
        <f aca="true" t="shared" si="0" ref="L3:L12">ROUND($P$6*J3^4+$P$7*J3^3+$P$8*J3^2+$P$9*J3+$P$10,2)</f>
        <v>-4269.6</v>
      </c>
    </row>
    <row r="4" spans="9:23" ht="12.75">
      <c r="I4" s="16">
        <v>37895</v>
      </c>
      <c r="J4" s="23">
        <f>_XLL.DIATRABALHOTOTAL($I$1,I4,Feriado!$A$1:$L$68)-1</f>
        <v>-2376</v>
      </c>
      <c r="K4" s="24">
        <v>23.27</v>
      </c>
      <c r="L4" s="1">
        <f t="shared" si="0"/>
        <v>-4117.31</v>
      </c>
      <c r="M4" s="3"/>
      <c r="W4" s="7"/>
    </row>
    <row r="5" spans="9:23" ht="12.75">
      <c r="I5" s="16">
        <v>37928</v>
      </c>
      <c r="J5" s="23">
        <f>_XLL.DIATRABALHOTOTAL($I$1,I5,Feriado!$A$1:$L$68)-1</f>
        <v>-2353</v>
      </c>
      <c r="K5" s="24">
        <v>22.77</v>
      </c>
      <c r="L5" s="1">
        <f t="shared" si="0"/>
        <v>-3962.41</v>
      </c>
      <c r="N5" s="19">
        <f aca="true" t="shared" si="1" ref="N5:N12">100000/R5</f>
        <v>679017.9606114082</v>
      </c>
      <c r="P5" s="345" t="s">
        <v>5</v>
      </c>
      <c r="Q5" s="345"/>
      <c r="R5">
        <f aca="true" t="shared" si="2" ref="R5:R12">(K5/100+1)^(J5/252)</f>
        <v>0.1472715094457251</v>
      </c>
      <c r="S5">
        <f>R5</f>
        <v>0.1472715094457251</v>
      </c>
      <c r="T5" s="1">
        <f>(S5^(252/J5)-1)*100</f>
        <v>22.770000000000003</v>
      </c>
      <c r="W5" s="7"/>
    </row>
    <row r="6" spans="9:23" ht="12.75">
      <c r="I6" s="16">
        <v>37987</v>
      </c>
      <c r="J6" s="23">
        <f>_XLL.DIATRABALHOTOTAL($I$1,I6,Feriado!$A$1:$L$68)-1</f>
        <v>-2310</v>
      </c>
      <c r="K6" s="24">
        <v>21.95</v>
      </c>
      <c r="L6" s="1">
        <f t="shared" si="0"/>
        <v>-3684.33</v>
      </c>
      <c r="N6" s="19">
        <f t="shared" si="1"/>
        <v>616594.8257485443</v>
      </c>
      <c r="P6" s="42">
        <v>-1.1E-10</v>
      </c>
      <c r="Q6" s="45" t="s">
        <v>6</v>
      </c>
      <c r="R6">
        <f t="shared" si="2"/>
        <v>0.16218105605832858</v>
      </c>
      <c r="S6">
        <f aca="true" t="shared" si="3" ref="S6:S12">R6/R5</f>
        <v>1.1012384993453075</v>
      </c>
      <c r="T6" s="1">
        <f aca="true" t="shared" si="4" ref="T6:T12">(S6^(252/(J6-J5))-1)*100</f>
        <v>75.97233683999892</v>
      </c>
      <c r="W6" s="7"/>
    </row>
    <row r="7" spans="9:23" ht="12.75">
      <c r="I7" s="25">
        <v>38078</v>
      </c>
      <c r="J7" s="23">
        <f>_XLL.DIATRABALHOTOTAL($I$1,I7,Feriado!$A$1:$L$68)-1</f>
        <v>-2245</v>
      </c>
      <c r="K7" s="27">
        <v>21.08</v>
      </c>
      <c r="L7" s="28">
        <f t="shared" si="0"/>
        <v>-3291.48</v>
      </c>
      <c r="M7" s="29"/>
      <c r="N7" s="30">
        <f t="shared" si="1"/>
        <v>549629.0827695476</v>
      </c>
      <c r="P7" s="42">
        <v>6.496E-08</v>
      </c>
      <c r="Q7" s="45" t="s">
        <v>7</v>
      </c>
      <c r="R7" s="29">
        <f t="shared" si="2"/>
        <v>0.18194088183271903</v>
      </c>
      <c r="S7" s="29">
        <f t="shared" si="3"/>
        <v>1.1218380633018188</v>
      </c>
      <c r="T7" s="28">
        <f t="shared" si="4"/>
        <v>56.16202545926365</v>
      </c>
      <c r="W7" s="7"/>
    </row>
    <row r="8" spans="9:23" ht="12.75">
      <c r="I8" s="16">
        <v>38169</v>
      </c>
      <c r="J8" s="23">
        <f>_XLL.DIATRABALHOTOTAL($I$1,I8,Feriado!$A$1:$L$68)-1</f>
        <v>-2180</v>
      </c>
      <c r="K8" s="24">
        <v>20.5</v>
      </c>
      <c r="L8" s="1">
        <f t="shared" si="0"/>
        <v>-2930.18</v>
      </c>
      <c r="N8" s="19">
        <f t="shared" si="1"/>
        <v>501882.70634829375</v>
      </c>
      <c r="P8" s="42">
        <v>3.074027E-05</v>
      </c>
      <c r="Q8" s="45" t="s">
        <v>8</v>
      </c>
      <c r="R8">
        <f t="shared" si="2"/>
        <v>0.19924974248983698</v>
      </c>
      <c r="S8">
        <f t="shared" si="3"/>
        <v>1.0951345320675765</v>
      </c>
      <c r="T8" s="1">
        <f t="shared" si="4"/>
        <v>42.236926272626874</v>
      </c>
      <c r="W8" s="7"/>
    </row>
    <row r="9" spans="9:23" ht="12.75">
      <c r="I9" s="16">
        <v>38261</v>
      </c>
      <c r="J9" s="23">
        <f>_XLL.DIATRABALHOTOTAL($I$1,I9,Feriado!$A$1:$L$68)-1</f>
        <v>-2114</v>
      </c>
      <c r="K9" s="24">
        <v>20.29</v>
      </c>
      <c r="L9" s="1">
        <f t="shared" si="0"/>
        <v>-2593.84</v>
      </c>
      <c r="N9" s="19">
        <f t="shared" si="1"/>
        <v>471016.98682165565</v>
      </c>
      <c r="P9" s="42">
        <v>-0.02599839176</v>
      </c>
      <c r="Q9" s="45" t="s">
        <v>9</v>
      </c>
      <c r="R9">
        <f t="shared" si="2"/>
        <v>0.2123065681235477</v>
      </c>
      <c r="S9">
        <f t="shared" si="3"/>
        <v>1.065529949853645</v>
      </c>
      <c r="T9" s="1">
        <f t="shared" si="4"/>
        <v>27.42384535977258</v>
      </c>
      <c r="W9" s="7"/>
    </row>
    <row r="10" spans="9:23" ht="12.75">
      <c r="I10" s="16">
        <v>38355</v>
      </c>
      <c r="J10" s="23">
        <f>_XLL.DIATRABALHOTOTAL($I$1,I10,Feriado!$A$1:$L$68)-1</f>
        <v>-2048</v>
      </c>
      <c r="K10" s="24">
        <v>20.26</v>
      </c>
      <c r="L10" s="1">
        <f t="shared" si="0"/>
        <v>-2286.52</v>
      </c>
      <c r="N10" s="19">
        <f t="shared" si="1"/>
        <v>447861.4858957675</v>
      </c>
      <c r="P10" s="42">
        <v>24.43899978843</v>
      </c>
      <c r="Q10" s="45" t="s">
        <v>10</v>
      </c>
      <c r="R10" s="7">
        <f t="shared" si="2"/>
        <v>0.22328332118130242</v>
      </c>
      <c r="S10">
        <f t="shared" si="3"/>
        <v>1.0517023715034903</v>
      </c>
      <c r="T10" s="1">
        <f t="shared" si="4"/>
        <v>21.224637499252985</v>
      </c>
      <c r="W10" s="7"/>
    </row>
    <row r="11" spans="9:23" ht="12.75">
      <c r="I11" s="16">
        <v>38443</v>
      </c>
      <c r="J11" s="23">
        <f>_XLL.DIATRABALHOTOTAL($I$1,I11,Feriado!$A$1:$L$68)-1</f>
        <v>-1984</v>
      </c>
      <c r="K11" s="24">
        <v>20.28</v>
      </c>
      <c r="L11" s="1">
        <f t="shared" si="0"/>
        <v>-2014.64</v>
      </c>
      <c r="N11" s="19">
        <f t="shared" si="1"/>
        <v>427921.457476203</v>
      </c>
      <c r="R11">
        <f t="shared" si="2"/>
        <v>0.23368774398409567</v>
      </c>
      <c r="S11">
        <f t="shared" si="3"/>
        <v>1.046597402563468</v>
      </c>
      <c r="T11" s="1">
        <f t="shared" si="4"/>
        <v>19.641646745097606</v>
      </c>
      <c r="W11" s="7"/>
    </row>
    <row r="12" spans="9:23" ht="12.75">
      <c r="I12" s="16">
        <v>38534</v>
      </c>
      <c r="J12" s="23">
        <f>_XLL.DIATRABALHOTOTAL($I$1,I12,Feriado!$A$1:$L$68)-1</f>
        <v>-1919</v>
      </c>
      <c r="K12" s="24">
        <v>20.36</v>
      </c>
      <c r="L12" s="1">
        <f t="shared" si="0"/>
        <v>-1763.27</v>
      </c>
      <c r="N12" s="19">
        <f t="shared" si="1"/>
        <v>410089.0575136497</v>
      </c>
      <c r="R12">
        <f t="shared" si="2"/>
        <v>0.24384947163988038</v>
      </c>
      <c r="S12">
        <f t="shared" si="3"/>
        <v>1.0434842130893964</v>
      </c>
      <c r="T12" s="1">
        <f t="shared" si="4"/>
        <v>17.9419615264375</v>
      </c>
      <c r="W12" s="7"/>
    </row>
    <row r="13" spans="9:23" ht="12.75">
      <c r="I13" s="31" t="s">
        <v>32</v>
      </c>
      <c r="J13" s="32">
        <v>60</v>
      </c>
      <c r="K13" s="32"/>
      <c r="L13" s="33">
        <v>7.05</v>
      </c>
      <c r="M13" s="33">
        <f>K16</f>
        <v>7.05</v>
      </c>
      <c r="W13" s="7"/>
    </row>
    <row r="14" spans="10:23" ht="12.75">
      <c r="J14" s="343" t="s">
        <v>34</v>
      </c>
      <c r="K14" s="344"/>
      <c r="L14" s="344"/>
      <c r="M14" s="344"/>
      <c r="N14" s="344"/>
      <c r="W14" s="7"/>
    </row>
    <row r="15" spans="10:23" ht="12.75">
      <c r="J15" t="s">
        <v>0</v>
      </c>
      <c r="K15" s="1">
        <v>0</v>
      </c>
      <c r="L15" t="s">
        <v>39</v>
      </c>
      <c r="N15" s="8"/>
      <c r="R15" s="13">
        <v>112</v>
      </c>
      <c r="S15" s="11">
        <f>VLOOKUP($R$15,$J$2:$K$12,2)</f>
        <v>20.36</v>
      </c>
      <c r="T15" s="11">
        <f>(1+S15/100)^(R15/252)</f>
        <v>1.0858500542042948</v>
      </c>
      <c r="W15" s="7"/>
    </row>
    <row r="16" spans="9:23" ht="12.75">
      <c r="I16" s="32"/>
      <c r="J16" s="14" t="s">
        <v>23</v>
      </c>
      <c r="K16" s="35">
        <f>L13+K15/100</f>
        <v>7.05</v>
      </c>
      <c r="N16" s="9"/>
      <c r="R16" s="13">
        <v>175</v>
      </c>
      <c r="S16" s="11">
        <f>VLOOKUP($R$16,$J$2:$K$12,2)</f>
        <v>20.36</v>
      </c>
      <c r="T16" s="11">
        <f>(1+S16/100)^(R16/252)</f>
        <v>1.1373402322203674</v>
      </c>
      <c r="W16" s="7"/>
    </row>
    <row r="17" spans="11:23" ht="12.75">
      <c r="K17" s="4"/>
      <c r="R17" s="12" t="s">
        <v>21</v>
      </c>
      <c r="S17" s="11">
        <f>(T17^(252/(R16-R15))-1)*100</f>
        <v>20.359999999999978</v>
      </c>
      <c r="T17" s="10">
        <f>T16/T15</f>
        <v>1.0474192341904927</v>
      </c>
      <c r="W17" s="7"/>
    </row>
    <row r="18" spans="10:23" ht="12.75">
      <c r="J18" s="14" t="s">
        <v>35</v>
      </c>
      <c r="K18" s="4">
        <f>1000/(1+K16/100)^(J13/252)</f>
        <v>983.9104073782073</v>
      </c>
      <c r="R18" s="12" t="s">
        <v>22</v>
      </c>
      <c r="S18" s="10"/>
      <c r="T18" s="10"/>
      <c r="W18" s="7"/>
    </row>
    <row r="19" spans="18:23" ht="12.75">
      <c r="R19" s="10">
        <f>J13</f>
        <v>60</v>
      </c>
      <c r="S19" s="11">
        <f>(T19^(252/R19)-1)*100</f>
        <v>20.360000000000067</v>
      </c>
      <c r="T19" s="10">
        <f>T15*T17^((R19-R15)/(R16-R15))</f>
        <v>1.0451110115244386</v>
      </c>
      <c r="W19" s="7"/>
    </row>
    <row r="20" spans="10:16" ht="12.75">
      <c r="J20" t="s">
        <v>16</v>
      </c>
      <c r="K20" s="6">
        <v>100</v>
      </c>
      <c r="P20" s="18"/>
    </row>
    <row r="21" spans="10:11" ht="12.75">
      <c r="J21" t="s">
        <v>15</v>
      </c>
      <c r="K21" s="1">
        <f>K20*K18</f>
        <v>98391.04073782073</v>
      </c>
    </row>
    <row r="22" ht="12.75">
      <c r="K22" s="8"/>
    </row>
    <row r="23" spans="10:12" ht="12.75">
      <c r="J23" t="s">
        <v>17</v>
      </c>
      <c r="K23" s="20">
        <f>K21/N7</f>
        <v>0.17901352716278085</v>
      </c>
      <c r="L23" t="s">
        <v>33</v>
      </c>
    </row>
    <row r="26" spans="10:14" ht="12.75">
      <c r="J26" s="343" t="s">
        <v>41</v>
      </c>
      <c r="K26" s="344"/>
      <c r="L26" s="344"/>
      <c r="M26" s="344"/>
      <c r="N26" s="344"/>
    </row>
    <row r="27" spans="10:14" ht="12.75">
      <c r="J27" s="14" t="s">
        <v>36</v>
      </c>
      <c r="K27" s="2">
        <f>M27^(252/J13)-1</f>
        <v>0.7985848441202863</v>
      </c>
      <c r="L27" s="2"/>
      <c r="M27">
        <v>1.15</v>
      </c>
      <c r="N27" s="9" t="s">
        <v>40</v>
      </c>
    </row>
    <row r="28" spans="10:15" ht="12.75">
      <c r="J28" t="s">
        <v>18</v>
      </c>
      <c r="K28" s="8">
        <f>K20*1000</f>
        <v>100000</v>
      </c>
      <c r="M28" s="21">
        <f>K28/K21</f>
        <v>1.0163527009178266</v>
      </c>
      <c r="O28" s="7"/>
    </row>
    <row r="29" spans="10:15" ht="12.75">
      <c r="J29" t="s">
        <v>19</v>
      </c>
      <c r="K29" s="8">
        <f>K21*M27</f>
        <v>113149.69684849383</v>
      </c>
      <c r="M29" s="21">
        <f>K29/K21</f>
        <v>1.15</v>
      </c>
      <c r="N29" s="8"/>
      <c r="O29" s="7"/>
    </row>
    <row r="30" spans="10:14" ht="12.75">
      <c r="J30" s="14" t="s">
        <v>38</v>
      </c>
      <c r="K30" s="7">
        <f>K28-K29</f>
        <v>-13149.696848493826</v>
      </c>
      <c r="M30" s="40">
        <f>(M28/M29)^(252/J13)</f>
        <v>0.595190159363095</v>
      </c>
      <c r="N30" s="6"/>
    </row>
    <row r="31" spans="13:14" ht="12.75">
      <c r="M31" s="34"/>
      <c r="N31" s="8"/>
    </row>
    <row r="32" spans="10:13" ht="12.75">
      <c r="J32" s="14" t="s">
        <v>37</v>
      </c>
      <c r="K32" s="1">
        <f>-(K33-K34)*K23</f>
        <v>95248.34413221575</v>
      </c>
      <c r="L32" s="6"/>
      <c r="M32" s="7"/>
    </row>
    <row r="33" spans="10:13" ht="12.75">
      <c r="J33" t="s">
        <v>26</v>
      </c>
      <c r="K33" s="1">
        <v>100000</v>
      </c>
      <c r="M33" s="7"/>
    </row>
    <row r="34" spans="10:11" ht="12.75">
      <c r="J34" t="s">
        <v>27</v>
      </c>
      <c r="K34" s="1">
        <f>N7*M27</f>
        <v>632073.4451849797</v>
      </c>
    </row>
    <row r="36" spans="10:11" ht="12.75">
      <c r="J36" t="s">
        <v>28</v>
      </c>
      <c r="K36" s="39">
        <f>K30+K32</f>
        <v>82098.64728372192</v>
      </c>
    </row>
    <row r="37" ht="12.75">
      <c r="K37" s="7"/>
    </row>
    <row r="40" spans="9:13" ht="12.75">
      <c r="I40" s="17">
        <v>38019</v>
      </c>
      <c r="L40" s="3"/>
      <c r="M40" s="3"/>
    </row>
    <row r="41" spans="9:20" ht="12.75">
      <c r="I41" s="25">
        <v>38078</v>
      </c>
      <c r="J41" s="26" t="e">
        <f>_XLL.DIATRABALHOTOTAL($I$40,I41,#REF!)-1</f>
        <v>#REF!</v>
      </c>
      <c r="K41" s="27">
        <v>23</v>
      </c>
      <c r="M41" s="30" t="e">
        <f aca="true" t="shared" si="5" ref="M41:M46">100000/R41</f>
        <v>#REF!</v>
      </c>
      <c r="R41" s="29" t="e">
        <f aca="true" t="shared" si="6" ref="R41:R46">(K41/100+1)^(J41/252)</f>
        <v>#REF!</v>
      </c>
      <c r="S41" s="29" t="e">
        <f>R41</f>
        <v>#REF!</v>
      </c>
      <c r="T41" s="28" t="e">
        <f>(S41^(252/J41)-1)*100</f>
        <v>#REF!</v>
      </c>
    </row>
    <row r="42" spans="9:20" ht="12.75">
      <c r="I42" s="16">
        <v>38169</v>
      </c>
      <c r="J42" s="23" t="e">
        <f>_XLL.DIATRABALHOTOTAL($I$40,I42,#REF!)-1</f>
        <v>#REF!</v>
      </c>
      <c r="K42" s="24">
        <v>16.05</v>
      </c>
      <c r="M42" s="19" t="e">
        <f t="shared" si="5"/>
        <v>#REF!</v>
      </c>
      <c r="R42" t="e">
        <f t="shared" si="6"/>
        <v>#REF!</v>
      </c>
      <c r="S42" t="e">
        <f>R42/R41</f>
        <v>#REF!</v>
      </c>
      <c r="T42" s="1" t="e">
        <f>(S42^(252/(J42-J41))-1)*100</f>
        <v>#REF!</v>
      </c>
    </row>
    <row r="43" spans="9:20" ht="12.75">
      <c r="I43" s="16">
        <v>38261</v>
      </c>
      <c r="J43" s="23" t="e">
        <f>_XLL.DIATRABALHOTOTAL($I$40,I43,#REF!)-1</f>
        <v>#REF!</v>
      </c>
      <c r="K43" s="24">
        <v>15.96</v>
      </c>
      <c r="M43" s="19" t="e">
        <f t="shared" si="5"/>
        <v>#REF!</v>
      </c>
      <c r="R43" t="e">
        <f t="shared" si="6"/>
        <v>#REF!</v>
      </c>
      <c r="S43" t="e">
        <f>R43/R42</f>
        <v>#REF!</v>
      </c>
      <c r="T43" s="1" t="e">
        <f>(S43^(252/(J43-J42))-1)*100</f>
        <v>#REF!</v>
      </c>
    </row>
    <row r="44" spans="9:20" ht="12.75">
      <c r="I44" s="16">
        <v>38355</v>
      </c>
      <c r="J44" s="23" t="e">
        <f>_XLL.DIATRABALHOTOTAL($I$40,I44,#REF!)-1</f>
        <v>#REF!</v>
      </c>
      <c r="K44" s="24">
        <v>15.81</v>
      </c>
      <c r="M44" s="19" t="e">
        <f t="shared" si="5"/>
        <v>#REF!</v>
      </c>
      <c r="R44" t="e">
        <f t="shared" si="6"/>
        <v>#REF!</v>
      </c>
      <c r="S44" t="e">
        <f>R44/R43</f>
        <v>#REF!</v>
      </c>
      <c r="T44" s="1" t="e">
        <f>(S44^(252/(J44-J43))-1)*100</f>
        <v>#REF!</v>
      </c>
    </row>
    <row r="45" spans="9:20" ht="12.75">
      <c r="I45" s="16">
        <v>38443</v>
      </c>
      <c r="J45" s="23" t="e">
        <f>_XLL.DIATRABALHOTOTAL($I$40,I45,#REF!)-1</f>
        <v>#REF!</v>
      </c>
      <c r="K45" s="24">
        <v>15.75</v>
      </c>
      <c r="M45" s="19" t="e">
        <f t="shared" si="5"/>
        <v>#REF!</v>
      </c>
      <c r="R45" t="e">
        <f t="shared" si="6"/>
        <v>#REF!</v>
      </c>
      <c r="S45" t="e">
        <f>R45/R44</f>
        <v>#REF!</v>
      </c>
      <c r="T45" s="1" t="e">
        <f>(S45^(252/(J45-J44))-1)*100</f>
        <v>#REF!</v>
      </c>
    </row>
    <row r="46" spans="9:20" ht="12.75">
      <c r="I46" s="16">
        <v>38534</v>
      </c>
      <c r="J46" s="23" t="e">
        <f>_XLL.DIATRABALHOTOTAL($I$40,I46,#REF!)-1</f>
        <v>#REF!</v>
      </c>
      <c r="K46" s="24">
        <v>15.72</v>
      </c>
      <c r="M46" s="19" t="e">
        <f t="shared" si="5"/>
        <v>#REF!</v>
      </c>
      <c r="R46" t="e">
        <f t="shared" si="6"/>
        <v>#REF!</v>
      </c>
      <c r="S46" t="e">
        <f>R46/R45</f>
        <v>#REF!</v>
      </c>
      <c r="T46" s="1" t="e">
        <f>(S46^(252/(J46-J45))-1)*100</f>
        <v>#REF!</v>
      </c>
    </row>
    <row r="47" spans="10:13" ht="12.75">
      <c r="J47">
        <v>41</v>
      </c>
      <c r="L47" s="1"/>
      <c r="M47" s="1"/>
    </row>
    <row r="49" spans="10:14" ht="12.75">
      <c r="J49" s="343" t="s">
        <v>29</v>
      </c>
      <c r="K49" s="344"/>
      <c r="L49" s="344"/>
      <c r="M49" s="344"/>
      <c r="N49" s="344"/>
    </row>
    <row r="50" spans="10:12" ht="12.75">
      <c r="J50" t="s">
        <v>17</v>
      </c>
      <c r="K50" s="20">
        <f>K23</f>
        <v>0.17901352716278085</v>
      </c>
      <c r="L50" t="s">
        <v>33</v>
      </c>
    </row>
    <row r="52" spans="10:11" ht="12.75">
      <c r="J52" t="s">
        <v>24</v>
      </c>
      <c r="K52" s="4">
        <f>1000/(1+L54/100)^(J47/252)</f>
        <v>964.1169434970129</v>
      </c>
    </row>
    <row r="53" spans="10:12" ht="12.75">
      <c r="J53" t="s">
        <v>42</v>
      </c>
      <c r="K53" s="22">
        <f>(1+K27)^(134/252)</f>
        <v>1.3663391426995657</v>
      </c>
      <c r="L53" s="37">
        <v>218.26638836128888</v>
      </c>
    </row>
    <row r="54" spans="9:13" ht="12.75">
      <c r="I54" s="32"/>
      <c r="J54" s="14" t="s">
        <v>30</v>
      </c>
      <c r="K54" s="19">
        <f>K52*10000</f>
        <v>9641169.43497013</v>
      </c>
      <c r="L54" s="36">
        <f>K41+L53/100</f>
        <v>25.18266388361289</v>
      </c>
      <c r="M54" s="38">
        <f>K54/K21</f>
        <v>97.98828595238287</v>
      </c>
    </row>
    <row r="55" spans="10:13" ht="12.75">
      <c r="J55" t="s">
        <v>19</v>
      </c>
      <c r="K55" s="19">
        <f>K21*K53</f>
        <v>134435.53025103203</v>
      </c>
      <c r="M55" s="20">
        <f>K55/K21</f>
        <v>1.366339142699566</v>
      </c>
    </row>
    <row r="56" spans="10:13" ht="12.75">
      <c r="J56" s="14" t="s">
        <v>20</v>
      </c>
      <c r="K56" s="7">
        <f>K54-K55</f>
        <v>9506733.904719098</v>
      </c>
      <c r="M56" s="41" t="e">
        <f>(M54/M55)^(252/(J7-J41))</f>
        <v>#REF!</v>
      </c>
    </row>
    <row r="58" spans="10:12" ht="12.75">
      <c r="J58" t="s">
        <v>25</v>
      </c>
      <c r="K58" s="7" t="e">
        <f>(K60-K59)*K50</f>
        <v>#REF!</v>
      </c>
      <c r="L58" s="6"/>
    </row>
    <row r="59" spans="10:13" ht="12.75">
      <c r="J59" t="s">
        <v>26</v>
      </c>
      <c r="K59" s="1" t="e">
        <f>M41</f>
        <v>#REF!</v>
      </c>
      <c r="M59" s="7"/>
    </row>
    <row r="60" spans="10:11" ht="12.75">
      <c r="J60" t="s">
        <v>27</v>
      </c>
      <c r="K60" s="1">
        <f>N7*K53</f>
        <v>750979.7297540923</v>
      </c>
    </row>
    <row r="62" spans="10:11" ht="12.75">
      <c r="J62" t="s">
        <v>28</v>
      </c>
      <c r="K62" s="7" t="e">
        <f>K56+K58</f>
        <v>#REF!</v>
      </c>
    </row>
    <row r="78" spans="7:15" ht="12.75">
      <c r="G78" s="269" t="s">
        <v>169</v>
      </c>
      <c r="H78" s="269" t="s">
        <v>161</v>
      </c>
      <c r="I78" s="269" t="s">
        <v>162</v>
      </c>
      <c r="J78" s="269" t="s">
        <v>167</v>
      </c>
      <c r="K78" s="269" t="s">
        <v>165</v>
      </c>
      <c r="L78" s="269" t="s">
        <v>166</v>
      </c>
      <c r="M78" s="269" t="s">
        <v>56</v>
      </c>
      <c r="N78" s="269" t="s">
        <v>163</v>
      </c>
      <c r="O78" s="269" t="s">
        <v>164</v>
      </c>
    </row>
    <row r="79" spans="7:15" ht="12.75">
      <c r="G79" s="267">
        <v>41426</v>
      </c>
      <c r="H79" s="1">
        <v>7.23</v>
      </c>
      <c r="I79" s="1">
        <v>7.255</v>
      </c>
      <c r="J79" s="1">
        <v>7.245</v>
      </c>
      <c r="K79" s="1">
        <v>7.23</v>
      </c>
      <c r="L79" s="1">
        <v>7.249</v>
      </c>
      <c r="M79" s="6">
        <v>22</v>
      </c>
      <c r="N79" s="6">
        <v>5010</v>
      </c>
      <c r="O79" s="6">
        <v>515062</v>
      </c>
    </row>
    <row r="80" spans="7:15" ht="12.75">
      <c r="G80" s="267">
        <v>41456</v>
      </c>
      <c r="H80" s="1">
        <v>7.415</v>
      </c>
      <c r="I80" s="1">
        <v>7.425</v>
      </c>
      <c r="J80" s="1">
        <v>7.42</v>
      </c>
      <c r="K80" s="1">
        <v>7.415</v>
      </c>
      <c r="L80" s="1">
        <v>7.419</v>
      </c>
      <c r="M80" s="6">
        <v>42</v>
      </c>
      <c r="N80" s="6">
        <v>17475</v>
      </c>
      <c r="O80" s="6">
        <v>3501642</v>
      </c>
    </row>
    <row r="81" spans="7:15" ht="12.75">
      <c r="G81" s="267">
        <v>41487</v>
      </c>
      <c r="H81" s="1">
        <v>7.54</v>
      </c>
      <c r="I81" s="1">
        <v>7.56</v>
      </c>
      <c r="J81" s="1">
        <v>7.56</v>
      </c>
      <c r="K81" s="1">
        <v>7.54</v>
      </c>
      <c r="L81" s="1">
        <v>7.56</v>
      </c>
      <c r="M81" s="6">
        <v>65</v>
      </c>
      <c r="N81" s="6">
        <v>25</v>
      </c>
      <c r="O81" s="6">
        <v>193543</v>
      </c>
    </row>
    <row r="82" spans="7:15" ht="12.75">
      <c r="G82" s="267">
        <v>41548</v>
      </c>
      <c r="H82" s="1">
        <v>7.73</v>
      </c>
      <c r="I82" s="1">
        <v>7.76</v>
      </c>
      <c r="J82" s="1">
        <v>7.74</v>
      </c>
      <c r="K82" s="1">
        <v>7.73</v>
      </c>
      <c r="L82" s="1">
        <v>7.74</v>
      </c>
      <c r="M82" s="6">
        <v>108</v>
      </c>
      <c r="N82" s="6">
        <v>9010</v>
      </c>
      <c r="O82" s="6">
        <v>426423</v>
      </c>
    </row>
    <row r="83" spans="7:15" ht="12.75">
      <c r="G83" s="267">
        <v>41640</v>
      </c>
      <c r="H83" s="1">
        <v>7.86</v>
      </c>
      <c r="I83" s="1">
        <v>7.9</v>
      </c>
      <c r="J83" s="1">
        <v>7.91</v>
      </c>
      <c r="K83" s="1">
        <v>7.86</v>
      </c>
      <c r="L83" s="1">
        <v>7.87</v>
      </c>
      <c r="M83" s="6">
        <v>172</v>
      </c>
      <c r="N83" s="6">
        <v>188295</v>
      </c>
      <c r="O83" s="6">
        <v>2401530</v>
      </c>
    </row>
    <row r="84" spans="7:15" ht="12.75">
      <c r="G84" s="267">
        <v>41730</v>
      </c>
      <c r="H84" s="1">
        <v>7.95</v>
      </c>
      <c r="I84" s="1">
        <v>7.97</v>
      </c>
      <c r="J84" s="1">
        <v>7.98</v>
      </c>
      <c r="K84" s="1">
        <v>7.95</v>
      </c>
      <c r="L84" s="1">
        <v>7.96</v>
      </c>
      <c r="M84" s="6">
        <v>233</v>
      </c>
      <c r="N84" s="6">
        <v>66395</v>
      </c>
      <c r="O84" s="6">
        <v>851113</v>
      </c>
    </row>
    <row r="85" spans="7:15" ht="12.75">
      <c r="G85" s="267">
        <v>41821</v>
      </c>
      <c r="H85" s="1">
        <v>8.04</v>
      </c>
      <c r="I85" s="1">
        <v>8.07</v>
      </c>
      <c r="J85" s="1">
        <v>8.07</v>
      </c>
      <c r="K85" s="1">
        <v>8.03</v>
      </c>
      <c r="L85" s="1">
        <v>8.04</v>
      </c>
      <c r="M85" s="6">
        <v>294</v>
      </c>
      <c r="N85" s="6">
        <v>8915</v>
      </c>
      <c r="O85" s="6">
        <v>934227</v>
      </c>
    </row>
    <row r="86" spans="7:15" ht="12.75">
      <c r="G86" s="267">
        <v>41913</v>
      </c>
      <c r="H86" s="1">
        <v>8.08</v>
      </c>
      <c r="I86" s="1">
        <v>8.14</v>
      </c>
      <c r="J86" s="1">
        <v>8.14</v>
      </c>
      <c r="K86" s="1">
        <v>8.1</v>
      </c>
      <c r="L86" s="1">
        <v>8.12</v>
      </c>
      <c r="M86" s="6">
        <v>360</v>
      </c>
      <c r="N86" s="6">
        <v>170</v>
      </c>
      <c r="O86" s="6">
        <v>83269</v>
      </c>
    </row>
    <row r="87" spans="7:15" ht="12.75">
      <c r="G87" s="267">
        <v>42005</v>
      </c>
      <c r="H87" s="1">
        <v>8.19</v>
      </c>
      <c r="I87" s="1">
        <v>8.24</v>
      </c>
      <c r="J87" s="1">
        <v>8.25</v>
      </c>
      <c r="K87" s="1">
        <v>8.19</v>
      </c>
      <c r="L87" s="1">
        <v>8.2</v>
      </c>
      <c r="M87" s="6">
        <v>425</v>
      </c>
      <c r="N87" s="6">
        <v>233680</v>
      </c>
      <c r="O87" s="6">
        <v>1613580</v>
      </c>
    </row>
    <row r="88" spans="7:15" ht="12.75">
      <c r="G88" s="267">
        <v>42095</v>
      </c>
      <c r="H88" s="1">
        <v>8.3</v>
      </c>
      <c r="I88" s="1">
        <v>8.35</v>
      </c>
      <c r="J88" s="1">
        <v>8.32</v>
      </c>
      <c r="K88" s="1">
        <v>8.3</v>
      </c>
      <c r="L88" s="1">
        <v>8.31</v>
      </c>
      <c r="M88" s="6">
        <v>486</v>
      </c>
      <c r="N88" s="6">
        <v>175</v>
      </c>
      <c r="O88" s="6">
        <v>335163</v>
      </c>
    </row>
    <row r="89" spans="7:15" ht="12.75">
      <c r="G89" s="267">
        <v>42186</v>
      </c>
      <c r="H89" s="1">
        <v>8.39</v>
      </c>
      <c r="I89" s="1">
        <v>8.45</v>
      </c>
      <c r="J89" s="1">
        <v>8.42</v>
      </c>
      <c r="K89" s="1">
        <v>8.39</v>
      </c>
      <c r="L89" s="1">
        <v>8.41</v>
      </c>
      <c r="M89" s="6">
        <v>547</v>
      </c>
      <c r="N89" s="6">
        <v>3250</v>
      </c>
      <c r="O89" s="6">
        <v>83343</v>
      </c>
    </row>
    <row r="90" spans="7:15" ht="12.75">
      <c r="G90" s="267">
        <v>42278</v>
      </c>
      <c r="H90" s="1">
        <v>8.44</v>
      </c>
      <c r="I90" s="1">
        <v>8.54</v>
      </c>
      <c r="J90" s="1">
        <v>8.48</v>
      </c>
      <c r="K90" s="1">
        <v>8.45</v>
      </c>
      <c r="L90" s="1">
        <v>8.49</v>
      </c>
      <c r="M90" s="6">
        <v>612</v>
      </c>
      <c r="N90" s="6">
        <v>40</v>
      </c>
      <c r="O90" s="6">
        <v>43012</v>
      </c>
    </row>
    <row r="91" spans="7:15" ht="12.75">
      <c r="G91" s="267">
        <v>42370</v>
      </c>
      <c r="H91" s="1">
        <v>8.54</v>
      </c>
      <c r="I91" s="1">
        <v>8.6</v>
      </c>
      <c r="J91" s="1">
        <v>8.61</v>
      </c>
      <c r="K91" s="1">
        <v>8.54</v>
      </c>
      <c r="L91" s="1">
        <v>8.55</v>
      </c>
      <c r="M91" s="6">
        <v>675</v>
      </c>
      <c r="N91" s="6">
        <v>24445</v>
      </c>
      <c r="O91" s="6">
        <v>941008</v>
      </c>
    </row>
    <row r="92" spans="7:15" ht="12.75">
      <c r="G92" s="267">
        <v>42461</v>
      </c>
      <c r="H92" s="1">
        <v>8.6</v>
      </c>
      <c r="I92" s="1">
        <v>8.64</v>
      </c>
      <c r="J92" s="1">
        <v>8.61</v>
      </c>
      <c r="K92" s="1">
        <v>8.59</v>
      </c>
      <c r="L92" s="1">
        <v>8.62</v>
      </c>
      <c r="M92" s="6">
        <v>736</v>
      </c>
      <c r="N92" s="6">
        <v>40</v>
      </c>
      <c r="O92" s="6">
        <v>49575</v>
      </c>
    </row>
    <row r="93" spans="7:15" ht="12.75">
      <c r="G93" s="267">
        <v>42552</v>
      </c>
      <c r="H93" s="1">
        <v>8.66</v>
      </c>
      <c r="I93" s="1">
        <v>8.72</v>
      </c>
      <c r="J93" s="1">
        <v>8.72</v>
      </c>
      <c r="K93" s="1">
        <v>8.66</v>
      </c>
      <c r="L93" s="1">
        <v>8.68</v>
      </c>
      <c r="M93" s="6">
        <v>799</v>
      </c>
      <c r="N93" s="6">
        <v>6580</v>
      </c>
      <c r="O93" s="6">
        <v>432847</v>
      </c>
    </row>
    <row r="94" spans="7:15" ht="12.75">
      <c r="G94" s="267">
        <v>42644</v>
      </c>
      <c r="H94" s="1">
        <v>8.68</v>
      </c>
      <c r="I94" s="1">
        <v>8.75</v>
      </c>
      <c r="J94" s="1">
        <v>8.73</v>
      </c>
      <c r="K94" s="1">
        <v>8.69</v>
      </c>
      <c r="L94" s="1">
        <v>8.73</v>
      </c>
      <c r="M94" s="6">
        <v>864</v>
      </c>
      <c r="N94" s="6">
        <v>40</v>
      </c>
      <c r="O94" s="6">
        <v>31261</v>
      </c>
    </row>
    <row r="95" spans="7:15" ht="12.75">
      <c r="G95" s="267">
        <v>42736</v>
      </c>
      <c r="H95" s="1">
        <v>8.75</v>
      </c>
      <c r="I95" s="1">
        <v>8.82</v>
      </c>
      <c r="J95" s="1">
        <v>8.83</v>
      </c>
      <c r="K95" s="1">
        <v>8.75</v>
      </c>
      <c r="L95" s="1">
        <v>8.76</v>
      </c>
      <c r="M95" s="6">
        <v>926</v>
      </c>
      <c r="N95" s="6">
        <v>92525</v>
      </c>
      <c r="O95" s="6">
        <v>1160055</v>
      </c>
    </row>
    <row r="96" spans="7:15" ht="12.75">
      <c r="G96" s="267">
        <v>42826</v>
      </c>
      <c r="H96" s="1">
        <v>8.75</v>
      </c>
      <c r="I96" s="1">
        <v>8.84</v>
      </c>
      <c r="J96" s="1">
        <v>8.8</v>
      </c>
      <c r="K96" s="1">
        <v>8.76</v>
      </c>
      <c r="L96" s="1">
        <v>8.81</v>
      </c>
      <c r="M96" s="6">
        <v>989</v>
      </c>
      <c r="N96" s="6">
        <v>30</v>
      </c>
      <c r="O96" s="6">
        <v>33979</v>
      </c>
    </row>
    <row r="97" spans="7:15" ht="12.75">
      <c r="G97" s="267">
        <v>42917</v>
      </c>
      <c r="H97" s="1">
        <v>8.79</v>
      </c>
      <c r="I97" s="1">
        <v>8.88</v>
      </c>
      <c r="J97" s="1">
        <v>8.85</v>
      </c>
      <c r="K97" s="1">
        <v>8.8</v>
      </c>
      <c r="L97" s="1">
        <v>8.83</v>
      </c>
      <c r="M97" s="6">
        <v>1050</v>
      </c>
      <c r="N97" s="6">
        <v>40</v>
      </c>
      <c r="O97" s="6">
        <v>29975</v>
      </c>
    </row>
    <row r="98" spans="7:15" ht="12.75">
      <c r="G98" s="267">
        <v>43009</v>
      </c>
      <c r="H98" s="1">
        <v>8.96</v>
      </c>
      <c r="I98" s="1">
        <v>8.96</v>
      </c>
      <c r="J98" s="1" t="s">
        <v>168</v>
      </c>
      <c r="K98" s="1">
        <v>8.84</v>
      </c>
      <c r="L98" s="1">
        <v>8.88</v>
      </c>
      <c r="M98" s="6">
        <v>1114</v>
      </c>
      <c r="N98" s="6" t="s">
        <v>168</v>
      </c>
      <c r="O98" s="6">
        <v>6670</v>
      </c>
    </row>
    <row r="99" spans="7:15" ht="12.75">
      <c r="G99" s="267">
        <v>43101</v>
      </c>
      <c r="H99" s="1">
        <v>8.9</v>
      </c>
      <c r="I99" s="1">
        <v>8.99</v>
      </c>
      <c r="J99" s="1">
        <v>8.97</v>
      </c>
      <c r="K99" s="1">
        <v>8.91</v>
      </c>
      <c r="L99" s="1">
        <v>8.92</v>
      </c>
      <c r="M99" s="6">
        <v>1175</v>
      </c>
      <c r="N99" s="6">
        <v>830</v>
      </c>
      <c r="O99" s="6">
        <v>122857</v>
      </c>
    </row>
    <row r="100" spans="7:15" ht="12.75">
      <c r="G100" s="267">
        <v>43466</v>
      </c>
      <c r="H100" s="1">
        <v>9.07</v>
      </c>
      <c r="I100" s="1">
        <v>9.15</v>
      </c>
      <c r="J100" s="1">
        <v>9.11</v>
      </c>
      <c r="K100" s="1">
        <v>9.06</v>
      </c>
      <c r="L100" s="1">
        <v>9.08</v>
      </c>
      <c r="M100" s="6">
        <v>1425</v>
      </c>
      <c r="N100" s="6">
        <v>495</v>
      </c>
      <c r="O100" s="6">
        <v>47429</v>
      </c>
    </row>
    <row r="101" spans="7:15" ht="12.75">
      <c r="G101" s="268">
        <v>43831</v>
      </c>
      <c r="H101" s="1">
        <v>9.21</v>
      </c>
      <c r="I101" s="1">
        <v>9.29</v>
      </c>
      <c r="J101" s="1">
        <v>9.26</v>
      </c>
      <c r="K101" s="1">
        <v>9.21</v>
      </c>
      <c r="L101" s="1">
        <v>9.22</v>
      </c>
      <c r="M101" s="6">
        <v>1678</v>
      </c>
      <c r="N101" s="6">
        <v>2280</v>
      </c>
      <c r="O101" s="6">
        <v>32170</v>
      </c>
    </row>
    <row r="102" spans="8:17" ht="12.75">
      <c r="H102" s="1"/>
      <c r="I102" s="1"/>
      <c r="J102" s="1"/>
      <c r="K102" s="1"/>
      <c r="L102" s="1"/>
      <c r="M102" s="1"/>
      <c r="N102" s="1"/>
      <c r="O102" s="1"/>
      <c r="Q102" s="1"/>
    </row>
  </sheetData>
  <sheetProtection/>
  <mergeCells count="4">
    <mergeCell ref="J26:N26"/>
    <mergeCell ref="J49:N49"/>
    <mergeCell ref="J14:N14"/>
    <mergeCell ref="P5:Q5"/>
  </mergeCells>
  <printOptions/>
  <pageMargins left="0.787401575" right="0.787401575" top="0.7" bottom="0.7" header="0.492125985" footer="0.492125985"/>
  <pageSetup fitToHeight="1" fitToWidth="1"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E96"/>
  <sheetViews>
    <sheetView zoomScalePageLayoutView="0" workbookViewId="0" topLeftCell="A23">
      <selection activeCell="D46" sqref="D46"/>
    </sheetView>
  </sheetViews>
  <sheetFormatPr defaultColWidth="9.140625" defaultRowHeight="12.75"/>
  <cols>
    <col min="1" max="1" width="3.421875" style="48" customWidth="1"/>
    <col min="2" max="2" width="14.421875" style="48" customWidth="1"/>
    <col min="3" max="3" width="15.8515625" style="48" customWidth="1"/>
    <col min="4" max="4" width="14.8515625" style="48" customWidth="1"/>
    <col min="5" max="5" width="18.28125" style="48" customWidth="1"/>
    <col min="6" max="16384" width="9.140625" style="48" customWidth="1"/>
  </cols>
  <sheetData>
    <row r="1" spans="2:5" ht="12.75">
      <c r="B1" s="49"/>
      <c r="C1" s="50" t="s">
        <v>54</v>
      </c>
      <c r="D1" s="51">
        <v>0</v>
      </c>
      <c r="E1" s="52"/>
    </row>
    <row r="2" spans="2:5" ht="12.75">
      <c r="B2" s="49"/>
      <c r="C2" s="53"/>
      <c r="E2" s="52"/>
    </row>
    <row r="3" spans="3:5" ht="12.75">
      <c r="C3" s="54"/>
      <c r="D3" s="55"/>
      <c r="E3" s="55"/>
    </row>
    <row r="4" spans="2:5" ht="12.75">
      <c r="B4" s="49"/>
      <c r="C4" s="56" t="s">
        <v>55</v>
      </c>
      <c r="D4" s="57" t="s">
        <v>56</v>
      </c>
      <c r="E4" s="57" t="s">
        <v>57</v>
      </c>
    </row>
    <row r="5" spans="2:5" ht="12.75">
      <c r="B5" s="49"/>
      <c r="C5" s="58"/>
      <c r="D5" s="55"/>
      <c r="E5" s="54"/>
    </row>
    <row r="6" spans="2:5" ht="12.75">
      <c r="B6" s="49">
        <f ca="1">TODAY()</f>
        <v>41413</v>
      </c>
      <c r="D6" s="55"/>
      <c r="E6" s="54"/>
    </row>
    <row r="7" spans="2:5" ht="13.5">
      <c r="B7" s="61">
        <v>40725</v>
      </c>
      <c r="C7" s="59">
        <v>48.80885</v>
      </c>
      <c r="D7" s="60">
        <v>-473</v>
      </c>
      <c r="E7" s="83">
        <f>IF(D7&gt;0,C7/(1+$D$1/100)^(D7/252),0)</f>
        <v>0</v>
      </c>
    </row>
    <row r="8" spans="2:5" ht="13.5">
      <c r="B8" s="61">
        <v>40910</v>
      </c>
      <c r="C8" s="59">
        <v>1048.80885</v>
      </c>
      <c r="D8" s="60">
        <v>-346</v>
      </c>
      <c r="E8" s="83">
        <f>IF(D8&gt;0,C8/(1+$D$1/100)^(D8/252),0)</f>
        <v>0</v>
      </c>
    </row>
    <row r="9" ht="12.75">
      <c r="B9" s="49"/>
    </row>
    <row r="10" spans="2:5" ht="12.75">
      <c r="B10" s="49"/>
      <c r="D10" s="62" t="s">
        <v>58</v>
      </c>
      <c r="E10" s="63">
        <f>SUM(E7:E8)</f>
        <v>0</v>
      </c>
    </row>
    <row r="12" spans="1:5" ht="12.75">
      <c r="A12" s="64"/>
      <c r="B12" s="64"/>
      <c r="C12" s="64"/>
      <c r="D12" s="64"/>
      <c r="E12" s="64"/>
    </row>
    <row r="14" spans="2:5" ht="12.75">
      <c r="B14" s="49"/>
      <c r="C14" s="50" t="s">
        <v>54</v>
      </c>
      <c r="D14" s="51">
        <v>0</v>
      </c>
      <c r="E14" s="52"/>
    </row>
    <row r="15" spans="2:5" ht="12.75">
      <c r="B15" s="49"/>
      <c r="C15" s="53"/>
      <c r="E15" s="52"/>
    </row>
    <row r="16" spans="3:5" ht="12.75">
      <c r="C16" s="54"/>
      <c r="D16" s="55"/>
      <c r="E16" s="55"/>
    </row>
    <row r="17" spans="2:5" ht="12.75">
      <c r="B17" s="49"/>
      <c r="C17" s="56" t="s">
        <v>55</v>
      </c>
      <c r="D17" s="57" t="s">
        <v>56</v>
      </c>
      <c r="E17" s="57" t="s">
        <v>57</v>
      </c>
    </row>
    <row r="18" spans="2:5" ht="12.75">
      <c r="B18" s="49"/>
      <c r="C18" s="58"/>
      <c r="D18" s="55"/>
      <c r="E18" s="54"/>
    </row>
    <row r="19" spans="2:5" ht="12.75">
      <c r="B19" s="49">
        <f ca="1">TODAY()</f>
        <v>41413</v>
      </c>
      <c r="D19" s="55"/>
      <c r="E19" s="233" t="s">
        <v>160</v>
      </c>
    </row>
    <row r="20" spans="2:5" ht="13.5">
      <c r="B20" s="61">
        <v>40725</v>
      </c>
      <c r="C20" s="59">
        <v>48.80885</v>
      </c>
      <c r="D20" s="60">
        <v>-473</v>
      </c>
      <c r="E20" s="83">
        <f>IF(D20&gt;0,C20/(1+$D$14/100)^(D20/252),0)</f>
        <v>0</v>
      </c>
    </row>
    <row r="21" spans="2:5" ht="13.5">
      <c r="B21" s="61">
        <v>40910</v>
      </c>
      <c r="C21" s="59">
        <v>48.80885</v>
      </c>
      <c r="D21" s="60">
        <v>-346</v>
      </c>
      <c r="E21" s="83">
        <f>IF(D21&gt;0,C21/(1+$D$14/100)^(D21/252),0)</f>
        <v>0</v>
      </c>
    </row>
    <row r="22" spans="2:5" ht="13.5">
      <c r="B22" s="61">
        <v>41092</v>
      </c>
      <c r="C22" s="59">
        <v>48.80885</v>
      </c>
      <c r="D22" s="60">
        <v>-221</v>
      </c>
      <c r="E22" s="83">
        <f>IF(D22&gt;0,C22/(1+$D$14/100)^(D22/252),0)</f>
        <v>0</v>
      </c>
    </row>
    <row r="23" spans="2:5" ht="13.5">
      <c r="B23" s="61">
        <v>41276</v>
      </c>
      <c r="C23" s="59">
        <v>1048.80885</v>
      </c>
      <c r="D23" s="60">
        <v>-95</v>
      </c>
      <c r="E23" s="83">
        <f>IF(D23&gt;0,C23/(1+$D$14/100)^(D23/252),0)</f>
        <v>0</v>
      </c>
    </row>
    <row r="24" ht="12.75">
      <c r="B24" s="49"/>
    </row>
    <row r="25" spans="2:5" ht="12.75">
      <c r="B25" s="49"/>
      <c r="D25" s="62" t="s">
        <v>58</v>
      </c>
      <c r="E25" s="63">
        <f>SUM(E20:E23)</f>
        <v>0</v>
      </c>
    </row>
    <row r="27" spans="1:5" ht="12.75">
      <c r="A27" s="64"/>
      <c r="B27" s="64"/>
      <c r="C27" s="64"/>
      <c r="D27" s="64"/>
      <c r="E27" s="64"/>
    </row>
    <row r="29" spans="2:5" ht="12.75">
      <c r="B29" s="49"/>
      <c r="C29" s="50" t="s">
        <v>54</v>
      </c>
      <c r="D29" s="51">
        <v>0</v>
      </c>
      <c r="E29" s="52"/>
    </row>
    <row r="30" spans="2:5" ht="12.75">
      <c r="B30" s="49"/>
      <c r="C30" s="53"/>
      <c r="E30" s="52"/>
    </row>
    <row r="31" spans="3:5" ht="12.75">
      <c r="C31" s="54"/>
      <c r="D31" s="55"/>
      <c r="E31" s="55"/>
    </row>
    <row r="32" spans="2:5" ht="12.75">
      <c r="B32" s="49"/>
      <c r="C32" s="56" t="s">
        <v>55</v>
      </c>
      <c r="D32" s="57" t="s">
        <v>56</v>
      </c>
      <c r="E32" s="57" t="s">
        <v>57</v>
      </c>
    </row>
    <row r="33" spans="2:5" ht="12.75">
      <c r="B33" s="49"/>
      <c r="C33" s="58"/>
      <c r="D33" s="55"/>
      <c r="E33" s="54"/>
    </row>
    <row r="34" spans="2:5" ht="12.75">
      <c r="B34" s="49">
        <f ca="1">TODAY()</f>
        <v>41413</v>
      </c>
      <c r="D34" s="55"/>
      <c r="E34" s="54"/>
    </row>
    <row r="35" spans="2:5" ht="13.5">
      <c r="B35" s="61">
        <v>40725</v>
      </c>
      <c r="C35" s="59">
        <v>48.80885</v>
      </c>
      <c r="D35" s="60">
        <v>-473</v>
      </c>
      <c r="E35" s="83">
        <f aca="true" t="shared" si="0" ref="E35:E40">IF(D35&gt;0,C35/(1+$D$29/100)^(D35/252),0)</f>
        <v>0</v>
      </c>
    </row>
    <row r="36" spans="2:5" ht="13.5">
      <c r="B36" s="61">
        <v>40910</v>
      </c>
      <c r="C36" s="59">
        <v>48.80885</v>
      </c>
      <c r="D36" s="60">
        <v>-346</v>
      </c>
      <c r="E36" s="83">
        <f t="shared" si="0"/>
        <v>0</v>
      </c>
    </row>
    <row r="37" spans="2:5" ht="13.5">
      <c r="B37" s="61">
        <v>41092</v>
      </c>
      <c r="C37" s="59">
        <v>48.80885</v>
      </c>
      <c r="D37" s="60">
        <v>-221</v>
      </c>
      <c r="E37" s="83">
        <f t="shared" si="0"/>
        <v>0</v>
      </c>
    </row>
    <row r="38" spans="2:5" ht="13.5">
      <c r="B38" s="61">
        <v>41276</v>
      </c>
      <c r="C38" s="59">
        <v>48.80885</v>
      </c>
      <c r="D38" s="60">
        <v>-95</v>
      </c>
      <c r="E38" s="83">
        <f t="shared" si="0"/>
        <v>0</v>
      </c>
    </row>
    <row r="39" spans="2:5" ht="13.5">
      <c r="B39" s="61">
        <v>41456</v>
      </c>
      <c r="C39" s="59">
        <v>48.80885</v>
      </c>
      <c r="D39" s="60">
        <v>29</v>
      </c>
      <c r="E39" s="83">
        <f t="shared" si="0"/>
        <v>48.80885</v>
      </c>
    </row>
    <row r="40" spans="2:5" ht="13.5">
      <c r="B40" s="61">
        <v>41641</v>
      </c>
      <c r="C40" s="59">
        <v>1048.80885</v>
      </c>
      <c r="D40" s="60">
        <v>159</v>
      </c>
      <c r="E40" s="83">
        <f t="shared" si="0"/>
        <v>1048.80885</v>
      </c>
    </row>
    <row r="41" ht="12.75">
      <c r="B41" s="49"/>
    </row>
    <row r="42" spans="2:5" ht="12.75">
      <c r="B42" s="49"/>
      <c r="D42" s="62" t="s">
        <v>58</v>
      </c>
      <c r="E42" s="63">
        <f>SUM(E35:E40)</f>
        <v>1097.6176999999998</v>
      </c>
    </row>
    <row r="44" spans="1:5" ht="12.75">
      <c r="A44" s="64"/>
      <c r="B44" s="64"/>
      <c r="C44" s="64"/>
      <c r="D44" s="64"/>
      <c r="E44" s="64"/>
    </row>
    <row r="46" spans="2:5" ht="12.75">
      <c r="B46" s="49"/>
      <c r="C46" s="50" t="s">
        <v>54</v>
      </c>
      <c r="D46" s="51">
        <v>0</v>
      </c>
      <c r="E46" s="52"/>
    </row>
    <row r="47" spans="2:5" ht="12.75">
      <c r="B47" s="49"/>
      <c r="C47" s="53"/>
      <c r="E47" s="52"/>
    </row>
    <row r="48" spans="3:5" ht="12.75">
      <c r="C48" s="54"/>
      <c r="D48" s="55"/>
      <c r="E48" s="55"/>
    </row>
    <row r="49" spans="2:5" ht="12.75">
      <c r="B49" s="49"/>
      <c r="C49" s="56" t="s">
        <v>55</v>
      </c>
      <c r="D49" s="57" t="s">
        <v>56</v>
      </c>
      <c r="E49" s="57" t="s">
        <v>57</v>
      </c>
    </row>
    <row r="50" spans="2:5" ht="12.75">
      <c r="B50" s="49"/>
      <c r="C50" s="58"/>
      <c r="D50" s="55"/>
      <c r="E50" s="54"/>
    </row>
    <row r="51" spans="2:5" ht="12.75">
      <c r="B51" s="49">
        <f ca="1">TODAY()</f>
        <v>41413</v>
      </c>
      <c r="D51" s="55"/>
      <c r="E51" s="54"/>
    </row>
    <row r="52" spans="2:5" ht="13.5">
      <c r="B52" s="61">
        <v>40725</v>
      </c>
      <c r="C52" s="59">
        <v>48.80885</v>
      </c>
      <c r="D52" s="60">
        <v>-473</v>
      </c>
      <c r="E52" s="83">
        <f>IF(D52&gt;0,C52/(1+$D$46/100)^(D52/252),0)</f>
        <v>0</v>
      </c>
    </row>
    <row r="53" spans="2:5" ht="13.5">
      <c r="B53" s="61">
        <v>40910</v>
      </c>
      <c r="C53" s="59">
        <v>48.80885</v>
      </c>
      <c r="D53" s="60">
        <v>-346</v>
      </c>
      <c r="E53" s="83">
        <f aca="true" t="shared" si="1" ref="E53:E63">IF(D53&gt;0,C53/(1+$D$46/100)^(D53/252),0)</f>
        <v>0</v>
      </c>
    </row>
    <row r="54" spans="2:5" ht="13.5">
      <c r="B54" s="61">
        <v>41092</v>
      </c>
      <c r="C54" s="59">
        <v>48.80885</v>
      </c>
      <c r="D54" s="60">
        <v>-221</v>
      </c>
      <c r="E54" s="83">
        <f t="shared" si="1"/>
        <v>0</v>
      </c>
    </row>
    <row r="55" spans="2:5" ht="13.5">
      <c r="B55" s="61">
        <v>41276</v>
      </c>
      <c r="C55" s="59">
        <v>48.80885</v>
      </c>
      <c r="D55" s="60">
        <v>-95</v>
      </c>
      <c r="E55" s="83">
        <f t="shared" si="1"/>
        <v>0</v>
      </c>
    </row>
    <row r="56" spans="2:5" ht="13.5">
      <c r="B56" s="61">
        <v>41456</v>
      </c>
      <c r="C56" s="59">
        <v>48.80885</v>
      </c>
      <c r="D56" s="60">
        <v>29</v>
      </c>
      <c r="E56" s="83">
        <f t="shared" si="1"/>
        <v>48.80885</v>
      </c>
    </row>
    <row r="57" spans="2:5" ht="13.5">
      <c r="B57" s="61">
        <v>41641</v>
      </c>
      <c r="C57" s="59">
        <v>48.80885</v>
      </c>
      <c r="D57" s="60">
        <v>159</v>
      </c>
      <c r="E57" s="83">
        <f t="shared" si="1"/>
        <v>48.80885</v>
      </c>
    </row>
    <row r="58" spans="2:5" ht="13.5">
      <c r="B58" s="61">
        <v>41821</v>
      </c>
      <c r="C58" s="59">
        <v>48.80885</v>
      </c>
      <c r="D58" s="60">
        <v>281</v>
      </c>
      <c r="E58" s="83">
        <f t="shared" si="1"/>
        <v>48.80885</v>
      </c>
    </row>
    <row r="59" spans="2:5" ht="13.5">
      <c r="B59" s="61">
        <v>42006</v>
      </c>
      <c r="C59" s="59">
        <v>48.80885</v>
      </c>
      <c r="D59" s="60">
        <v>412</v>
      </c>
      <c r="E59" s="83">
        <f t="shared" si="1"/>
        <v>48.80885</v>
      </c>
    </row>
    <row r="60" spans="2:5" ht="13.5">
      <c r="B60" s="61">
        <v>42186</v>
      </c>
      <c r="C60" s="59">
        <v>48.80885</v>
      </c>
      <c r="D60" s="60">
        <v>534</v>
      </c>
      <c r="E60" s="83">
        <f t="shared" si="1"/>
        <v>48.80885</v>
      </c>
    </row>
    <row r="61" spans="2:5" ht="13.5">
      <c r="B61" s="61">
        <v>42373</v>
      </c>
      <c r="C61" s="59">
        <v>48.80885</v>
      </c>
      <c r="D61" s="60">
        <v>662</v>
      </c>
      <c r="E61" s="83">
        <f t="shared" si="1"/>
        <v>48.80885</v>
      </c>
    </row>
    <row r="62" spans="2:5" ht="13.5">
      <c r="B62" s="61">
        <v>42552</v>
      </c>
      <c r="C62" s="59">
        <v>48.80885</v>
      </c>
      <c r="D62" s="60">
        <v>786</v>
      </c>
      <c r="E62" s="83">
        <f t="shared" si="1"/>
        <v>48.80885</v>
      </c>
    </row>
    <row r="63" spans="2:5" ht="13.5">
      <c r="B63" s="61">
        <v>42737</v>
      </c>
      <c r="C63" s="59">
        <v>1048.80885</v>
      </c>
      <c r="D63" s="60">
        <v>913</v>
      </c>
      <c r="E63" s="83">
        <f t="shared" si="1"/>
        <v>1048.80885</v>
      </c>
    </row>
    <row r="64" ht="12.75">
      <c r="B64" s="49"/>
    </row>
    <row r="65" spans="2:5" ht="12.75">
      <c r="B65" s="49"/>
      <c r="D65" s="62" t="s">
        <v>58</v>
      </c>
      <c r="E65" s="63">
        <f>SUM(E52:E63)</f>
        <v>1390.4707999999998</v>
      </c>
    </row>
    <row r="67" spans="1:5" ht="12.75">
      <c r="A67" s="64"/>
      <c r="B67" s="64"/>
      <c r="C67" s="64"/>
      <c r="D67" s="64"/>
      <c r="E67" s="64"/>
    </row>
    <row r="69" spans="3:4" ht="12.75">
      <c r="C69" s="50" t="s">
        <v>54</v>
      </c>
      <c r="D69" s="51">
        <v>0</v>
      </c>
    </row>
    <row r="70" ht="12.75">
      <c r="C70" s="50"/>
    </row>
    <row r="72" spans="3:5" ht="12.75">
      <c r="C72" s="56" t="s">
        <v>55</v>
      </c>
      <c r="D72" s="57" t="s">
        <v>56</v>
      </c>
      <c r="E72" s="57" t="s">
        <v>57</v>
      </c>
    </row>
    <row r="74" ht="12.75">
      <c r="B74" s="49">
        <f ca="1">TODAY()</f>
        <v>41413</v>
      </c>
    </row>
    <row r="75" spans="2:5" ht="13.5">
      <c r="B75" s="61">
        <v>40725</v>
      </c>
      <c r="C75" s="59">
        <v>48.80885</v>
      </c>
      <c r="D75" s="60">
        <v>-473</v>
      </c>
      <c r="E75" s="83">
        <f>IF(D75&gt;0,C75/(1+$D$69/100)^(D75/252),0)</f>
        <v>0</v>
      </c>
    </row>
    <row r="76" spans="2:5" ht="13.5">
      <c r="B76" s="61">
        <v>40910</v>
      </c>
      <c r="C76" s="59">
        <v>48.80885</v>
      </c>
      <c r="D76" s="60">
        <v>-346</v>
      </c>
      <c r="E76" s="83">
        <f aca="true" t="shared" si="2" ref="E76:E94">IF(D76&gt;0,C76/(1+$D$69/100)^(D76/252),0)</f>
        <v>0</v>
      </c>
    </row>
    <row r="77" spans="2:5" ht="13.5">
      <c r="B77" s="61">
        <v>41092</v>
      </c>
      <c r="C77" s="59">
        <v>48.80885</v>
      </c>
      <c r="D77" s="60">
        <v>-221</v>
      </c>
      <c r="E77" s="83">
        <f t="shared" si="2"/>
        <v>0</v>
      </c>
    </row>
    <row r="78" spans="2:5" ht="13.5">
      <c r="B78" s="61">
        <v>41276</v>
      </c>
      <c r="C78" s="59">
        <v>48.80885</v>
      </c>
      <c r="D78" s="60">
        <v>-95</v>
      </c>
      <c r="E78" s="83">
        <f t="shared" si="2"/>
        <v>0</v>
      </c>
    </row>
    <row r="79" spans="2:5" ht="13.5">
      <c r="B79" s="61">
        <v>41456</v>
      </c>
      <c r="C79" s="59">
        <v>48.80885</v>
      </c>
      <c r="D79" s="60">
        <v>29</v>
      </c>
      <c r="E79" s="83">
        <f t="shared" si="2"/>
        <v>48.80885</v>
      </c>
    </row>
    <row r="80" spans="2:5" ht="13.5">
      <c r="B80" s="61">
        <v>41641</v>
      </c>
      <c r="C80" s="59">
        <v>48.80885</v>
      </c>
      <c r="D80" s="60">
        <v>159</v>
      </c>
      <c r="E80" s="83">
        <f t="shared" si="2"/>
        <v>48.80885</v>
      </c>
    </row>
    <row r="81" spans="2:5" ht="13.5">
      <c r="B81" s="61">
        <v>41821</v>
      </c>
      <c r="C81" s="59">
        <v>48.80885</v>
      </c>
      <c r="D81" s="60">
        <v>281</v>
      </c>
      <c r="E81" s="83">
        <f t="shared" si="2"/>
        <v>48.80885</v>
      </c>
    </row>
    <row r="82" spans="2:5" ht="13.5">
      <c r="B82" s="61">
        <v>42006</v>
      </c>
      <c r="C82" s="59">
        <v>48.80885</v>
      </c>
      <c r="D82" s="60">
        <v>412</v>
      </c>
      <c r="E82" s="83">
        <f t="shared" si="2"/>
        <v>48.80885</v>
      </c>
    </row>
    <row r="83" spans="2:5" ht="13.5">
      <c r="B83" s="61">
        <v>42186</v>
      </c>
      <c r="C83" s="59">
        <v>48.80885</v>
      </c>
      <c r="D83" s="60">
        <v>534</v>
      </c>
      <c r="E83" s="83">
        <f t="shared" si="2"/>
        <v>48.80885</v>
      </c>
    </row>
    <row r="84" spans="2:5" ht="13.5">
      <c r="B84" s="61">
        <v>42373</v>
      </c>
      <c r="C84" s="59">
        <v>48.80885</v>
      </c>
      <c r="D84" s="60">
        <v>662</v>
      </c>
      <c r="E84" s="83">
        <f t="shared" si="2"/>
        <v>48.80885</v>
      </c>
    </row>
    <row r="85" spans="2:5" ht="13.5">
      <c r="B85" s="61">
        <v>42552</v>
      </c>
      <c r="C85" s="59">
        <v>48.80885</v>
      </c>
      <c r="D85" s="60">
        <v>786</v>
      </c>
      <c r="E85" s="83">
        <f t="shared" si="2"/>
        <v>48.80885</v>
      </c>
    </row>
    <row r="86" spans="2:5" ht="13.5">
      <c r="B86" s="61">
        <v>42737</v>
      </c>
      <c r="C86" s="59">
        <v>48.80885</v>
      </c>
      <c r="D86" s="60">
        <v>913</v>
      </c>
      <c r="E86" s="83">
        <f t="shared" si="2"/>
        <v>48.80885</v>
      </c>
    </row>
    <row r="87" spans="2:5" ht="13.5">
      <c r="B87" s="61">
        <v>42919</v>
      </c>
      <c r="C87" s="59">
        <v>48.80885</v>
      </c>
      <c r="D87" s="60">
        <v>1037</v>
      </c>
      <c r="E87" s="83">
        <f t="shared" si="2"/>
        <v>48.80885</v>
      </c>
    </row>
    <row r="88" spans="2:5" ht="13.5">
      <c r="B88" s="61">
        <v>43102</v>
      </c>
      <c r="C88" s="59">
        <v>48.80885</v>
      </c>
      <c r="D88" s="60">
        <v>1162</v>
      </c>
      <c r="E88" s="83">
        <f t="shared" si="2"/>
        <v>48.80885</v>
      </c>
    </row>
    <row r="89" spans="2:5" ht="13.5">
      <c r="B89" s="61">
        <v>43283</v>
      </c>
      <c r="C89" s="59">
        <v>48.80885</v>
      </c>
      <c r="D89" s="60">
        <v>1286</v>
      </c>
      <c r="E89" s="83">
        <f t="shared" si="2"/>
        <v>48.80885</v>
      </c>
    </row>
    <row r="90" spans="2:5" ht="13.5">
      <c r="B90" s="61">
        <v>43467</v>
      </c>
      <c r="C90" s="59">
        <v>48.80885</v>
      </c>
      <c r="D90" s="60">
        <v>1412</v>
      </c>
      <c r="E90" s="83">
        <f t="shared" si="2"/>
        <v>48.80885</v>
      </c>
    </row>
    <row r="91" spans="2:5" ht="13.5">
      <c r="B91" s="61">
        <v>43647</v>
      </c>
      <c r="C91" s="59">
        <v>48.80885</v>
      </c>
      <c r="D91" s="60">
        <v>1535</v>
      </c>
      <c r="E91" s="83">
        <f t="shared" si="2"/>
        <v>48.80885</v>
      </c>
    </row>
    <row r="92" spans="2:5" ht="13.5">
      <c r="B92" s="61">
        <v>43832</v>
      </c>
      <c r="C92" s="59">
        <v>48.80885</v>
      </c>
      <c r="D92" s="60">
        <v>1665</v>
      </c>
      <c r="E92" s="83">
        <f t="shared" si="2"/>
        <v>48.80885</v>
      </c>
    </row>
    <row r="93" spans="2:5" ht="13.5">
      <c r="B93" s="61">
        <v>44013</v>
      </c>
      <c r="C93" s="59">
        <v>48.80885</v>
      </c>
      <c r="D93" s="60">
        <v>1788</v>
      </c>
      <c r="E93" s="83">
        <f t="shared" si="2"/>
        <v>48.80885</v>
      </c>
    </row>
    <row r="94" spans="2:5" ht="13.5">
      <c r="B94" s="61">
        <v>44200</v>
      </c>
      <c r="C94" s="59">
        <v>1048.80885</v>
      </c>
      <c r="D94" s="60">
        <v>1916</v>
      </c>
      <c r="E94" s="83">
        <f t="shared" si="2"/>
        <v>1048.80885</v>
      </c>
    </row>
    <row r="96" spans="4:5" ht="12.75">
      <c r="D96" s="62" t="s">
        <v>58</v>
      </c>
      <c r="E96" s="63">
        <f>SUM(E75:E94)</f>
        <v>1780.9415999999999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K263"/>
  <sheetViews>
    <sheetView zoomScalePageLayoutView="0" workbookViewId="0" topLeftCell="A25">
      <selection activeCell="B70" sqref="B70"/>
    </sheetView>
  </sheetViews>
  <sheetFormatPr defaultColWidth="9.140625" defaultRowHeight="12.75"/>
  <cols>
    <col min="1" max="1" width="5.28125" style="74" customWidth="1"/>
    <col min="2" max="2" width="12.421875" style="74" customWidth="1"/>
    <col min="3" max="3" width="16.00390625" style="74" customWidth="1"/>
    <col min="4" max="4" width="11.140625" style="74" customWidth="1"/>
    <col min="5" max="5" width="14.7109375" style="74" customWidth="1"/>
    <col min="6" max="6" width="4.8515625" style="74" customWidth="1"/>
    <col min="7" max="7" width="10.57421875" style="58" customWidth="1"/>
    <col min="8" max="8" width="13.140625" style="58" customWidth="1"/>
    <col min="9" max="9" width="9.140625" style="58" customWidth="1"/>
    <col min="10" max="11" width="9.140625" style="74" customWidth="1"/>
    <col min="12" max="12" width="14.8515625" style="74" bestFit="1" customWidth="1"/>
    <col min="13" max="16384" width="9.140625" style="74" customWidth="1"/>
  </cols>
  <sheetData>
    <row r="1" spans="1:9" ht="13.5">
      <c r="A1" s="66"/>
      <c r="B1" s="67"/>
      <c r="C1" s="68" t="s">
        <v>59</v>
      </c>
      <c r="D1" s="69"/>
      <c r="E1" s="70">
        <v>186.634</v>
      </c>
      <c r="F1" s="71"/>
      <c r="G1" s="71"/>
      <c r="H1" s="72"/>
      <c r="I1" s="73"/>
    </row>
    <row r="2" spans="1:9" ht="13.5">
      <c r="A2" s="75"/>
      <c r="B2" s="49"/>
      <c r="C2" s="76">
        <v>41136</v>
      </c>
      <c r="D2" s="48"/>
      <c r="E2" s="52"/>
      <c r="F2" s="48"/>
      <c r="G2" s="48"/>
      <c r="H2" s="77"/>
      <c r="I2" s="73"/>
    </row>
    <row r="3" spans="1:9" ht="13.5">
      <c r="A3" s="75"/>
      <c r="B3" s="49"/>
      <c r="C3" s="58"/>
      <c r="D3" s="78"/>
      <c r="E3" s="48"/>
      <c r="F3" s="48"/>
      <c r="G3" s="48"/>
      <c r="H3" s="77"/>
      <c r="I3" s="73"/>
    </row>
    <row r="4" spans="1:9" ht="13.5">
      <c r="A4" s="75"/>
      <c r="B4" s="49"/>
      <c r="C4" s="48"/>
      <c r="D4" s="48"/>
      <c r="E4" s="48"/>
      <c r="F4" s="48"/>
      <c r="G4" s="48"/>
      <c r="H4" s="77"/>
      <c r="I4" s="73"/>
    </row>
    <row r="5" spans="1:11" ht="13.5">
      <c r="A5" s="75"/>
      <c r="B5" s="49"/>
      <c r="C5" s="65"/>
      <c r="D5" s="48"/>
      <c r="E5" s="48"/>
      <c r="F5" s="48"/>
      <c r="G5" s="54"/>
      <c r="H5" s="79" t="s">
        <v>60</v>
      </c>
      <c r="I5" s="81"/>
      <c r="J5" s="81"/>
      <c r="K5" s="81"/>
    </row>
    <row r="6" spans="1:9" ht="13.5">
      <c r="A6" s="75"/>
      <c r="B6" s="48"/>
      <c r="C6" s="54" t="s">
        <v>61</v>
      </c>
      <c r="D6" s="55"/>
      <c r="E6" s="55"/>
      <c r="F6" s="48"/>
      <c r="H6" s="80">
        <v>6</v>
      </c>
      <c r="I6" s="81"/>
    </row>
    <row r="7" spans="1:9" ht="13.5">
      <c r="A7" s="75"/>
      <c r="B7" s="49"/>
      <c r="C7" s="54"/>
      <c r="D7" s="55" t="s">
        <v>63</v>
      </c>
      <c r="E7" s="55" t="s">
        <v>64</v>
      </c>
      <c r="F7" s="48"/>
      <c r="H7" s="92"/>
      <c r="I7" s="73"/>
    </row>
    <row r="8" spans="1:9" ht="13.5">
      <c r="A8" s="75"/>
      <c r="B8" s="49"/>
      <c r="C8" s="89"/>
      <c r="D8" s="55"/>
      <c r="E8" s="54"/>
      <c r="F8" s="48"/>
      <c r="H8" s="82"/>
      <c r="I8" s="73"/>
    </row>
    <row r="9" spans="1:9" ht="13.5">
      <c r="A9" s="75"/>
      <c r="B9" s="49">
        <f ca="1">TODAY()</f>
        <v>41413</v>
      </c>
      <c r="C9" s="90"/>
      <c r="D9" s="55"/>
      <c r="E9" s="54"/>
      <c r="F9" s="48"/>
      <c r="H9" s="82"/>
      <c r="I9" s="73"/>
    </row>
    <row r="10" spans="1:9" ht="13.5">
      <c r="A10" s="75"/>
      <c r="B10" s="49">
        <v>40770</v>
      </c>
      <c r="C10" s="58">
        <f>IF(D10&gt;0,2.956301,0)</f>
        <v>0</v>
      </c>
      <c r="D10" s="60">
        <v>-396</v>
      </c>
      <c r="E10" s="83">
        <f>IF(D10&gt;0,C10/(1+$H$6/100)^(D10/252),0)</f>
        <v>0</v>
      </c>
      <c r="F10" s="48"/>
      <c r="H10" s="82"/>
      <c r="I10" s="73"/>
    </row>
    <row r="11" spans="1:9" ht="13.5">
      <c r="A11" s="75"/>
      <c r="B11" s="49">
        <v>40954</v>
      </c>
      <c r="C11" s="58">
        <f>IF(D11&gt;0,2.956301,0)</f>
        <v>0</v>
      </c>
      <c r="D11" s="60">
        <v>-268</v>
      </c>
      <c r="E11" s="83">
        <f>IF(D11&gt;0,C11/(1+$H$6/100)^(D11/252),0)</f>
        <v>0</v>
      </c>
      <c r="F11" s="48"/>
      <c r="H11" s="82"/>
      <c r="I11" s="73"/>
    </row>
    <row r="12" spans="1:9" ht="13.5">
      <c r="A12" s="75"/>
      <c r="B12" s="49">
        <v>41136</v>
      </c>
      <c r="C12" s="58">
        <f>IF(D12&gt;0,102.956301,0)</f>
        <v>0</v>
      </c>
      <c r="D12" s="60">
        <v>-143</v>
      </c>
      <c r="E12" s="83">
        <f>IF(D12&gt;0,C12/(1+$H$6/100)^(D12/252),0)</f>
        <v>0</v>
      </c>
      <c r="F12" s="48"/>
      <c r="H12" s="82"/>
      <c r="I12" s="73"/>
    </row>
    <row r="13" spans="1:9" ht="13.5">
      <c r="A13" s="75"/>
      <c r="B13" s="49"/>
      <c r="C13" s="48"/>
      <c r="D13" s="48"/>
      <c r="E13" s="48"/>
      <c r="F13" s="48"/>
      <c r="H13" s="82"/>
      <c r="I13" s="73"/>
    </row>
    <row r="14" spans="1:9" ht="13.5">
      <c r="A14" s="75"/>
      <c r="B14" s="49"/>
      <c r="C14" s="48"/>
      <c r="D14" s="48"/>
      <c r="E14" s="83"/>
      <c r="F14" s="48"/>
      <c r="H14" s="82"/>
      <c r="I14" s="73"/>
    </row>
    <row r="15" spans="1:9" ht="14.25" thickBot="1">
      <c r="A15" s="84"/>
      <c r="B15" s="85"/>
      <c r="C15" s="86"/>
      <c r="D15" s="87" t="s">
        <v>62</v>
      </c>
      <c r="E15" s="87">
        <f>SUM(E10:E14)</f>
        <v>0</v>
      </c>
      <c r="F15" s="86"/>
      <c r="G15" s="86"/>
      <c r="H15" s="88"/>
      <c r="I15" s="73"/>
    </row>
    <row r="16" spans="1:9" ht="13.5">
      <c r="A16" s="66"/>
      <c r="B16" s="67"/>
      <c r="C16" s="68" t="s">
        <v>59</v>
      </c>
      <c r="D16" s="69"/>
      <c r="E16" s="70">
        <v>186.634</v>
      </c>
      <c r="F16" s="71"/>
      <c r="G16" s="71"/>
      <c r="H16" s="72"/>
      <c r="I16" s="73"/>
    </row>
    <row r="17" spans="1:9" ht="13.5">
      <c r="A17" s="75"/>
      <c r="B17" s="49"/>
      <c r="C17" s="76">
        <v>41409</v>
      </c>
      <c r="D17" s="48"/>
      <c r="E17" s="52"/>
      <c r="F17" s="48"/>
      <c r="G17" s="48"/>
      <c r="H17" s="77"/>
      <c r="I17" s="81"/>
    </row>
    <row r="18" spans="1:9" ht="13.5">
      <c r="A18" s="75"/>
      <c r="B18" s="49"/>
      <c r="C18" s="58"/>
      <c r="D18" s="78"/>
      <c r="E18" s="48"/>
      <c r="F18" s="48"/>
      <c r="G18" s="48"/>
      <c r="H18" s="77"/>
      <c r="I18" s="73"/>
    </row>
    <row r="19" spans="1:9" ht="13.5">
      <c r="A19" s="75"/>
      <c r="B19" s="49"/>
      <c r="C19" s="48"/>
      <c r="D19" s="48"/>
      <c r="E19" s="48"/>
      <c r="F19" s="48"/>
      <c r="G19" s="48"/>
      <c r="H19" s="77"/>
      <c r="I19" s="73"/>
    </row>
    <row r="20" spans="1:9" ht="13.5">
      <c r="A20" s="75"/>
      <c r="B20" s="49"/>
      <c r="C20" s="65"/>
      <c r="D20" s="48"/>
      <c r="E20" s="48"/>
      <c r="F20" s="48"/>
      <c r="G20" s="54"/>
      <c r="H20" s="79" t="s">
        <v>60</v>
      </c>
      <c r="I20" s="73"/>
    </row>
    <row r="21" spans="1:9" ht="13.5">
      <c r="A21" s="75"/>
      <c r="B21" s="48"/>
      <c r="C21" s="54" t="s">
        <v>61</v>
      </c>
      <c r="D21" s="55"/>
      <c r="E21" s="55"/>
      <c r="F21" s="48"/>
      <c r="H21" s="80">
        <v>6</v>
      </c>
      <c r="I21" s="73"/>
    </row>
    <row r="22" spans="1:9" ht="13.5">
      <c r="A22" s="75"/>
      <c r="B22" s="49"/>
      <c r="C22" s="54"/>
      <c r="D22" s="55" t="s">
        <v>63</v>
      </c>
      <c r="E22" s="55" t="s">
        <v>64</v>
      </c>
      <c r="F22" s="48"/>
      <c r="H22" s="77"/>
      <c r="I22" s="73"/>
    </row>
    <row r="23" spans="1:9" ht="13.5">
      <c r="A23" s="75"/>
      <c r="B23" s="49"/>
      <c r="C23" s="58"/>
      <c r="D23" s="55"/>
      <c r="E23" s="54"/>
      <c r="F23" s="48"/>
      <c r="H23" s="82"/>
      <c r="I23" s="73"/>
    </row>
    <row r="24" spans="1:9" ht="13.5">
      <c r="A24" s="75"/>
      <c r="B24" s="49">
        <f ca="1">TODAY()</f>
        <v>41413</v>
      </c>
      <c r="C24" s="58"/>
      <c r="D24" s="60"/>
      <c r="E24" s="83"/>
      <c r="F24" s="48"/>
      <c r="H24" s="82"/>
      <c r="I24" s="73"/>
    </row>
    <row r="25" spans="1:9" ht="13.5">
      <c r="A25" s="75"/>
      <c r="B25" s="49">
        <v>40863</v>
      </c>
      <c r="C25" s="58">
        <f>IF(D25&gt;0,2.956301,0)</f>
        <v>0</v>
      </c>
      <c r="D25" s="60">
        <v>-333</v>
      </c>
      <c r="E25" s="83">
        <f>IF(D25&gt;0,C25/(1+$H$21/100)^(D25/252),0)</f>
        <v>0</v>
      </c>
      <c r="F25" s="48"/>
      <c r="G25" s="48"/>
      <c r="H25" s="77"/>
      <c r="I25" s="73"/>
    </row>
    <row r="26" spans="1:9" ht="13.5">
      <c r="A26" s="75"/>
      <c r="B26" s="49">
        <v>41044</v>
      </c>
      <c r="C26" s="58">
        <f>IF(D26&gt;0,2.956301,0)</f>
        <v>0</v>
      </c>
      <c r="D26" s="60">
        <v>-208</v>
      </c>
      <c r="E26" s="83">
        <f>IF(D26&gt;0,C26/(1+$H$21/100)^(D26/252),0)</f>
        <v>0</v>
      </c>
      <c r="F26" s="48"/>
      <c r="G26" s="48"/>
      <c r="H26" s="77"/>
      <c r="I26" s="73"/>
    </row>
    <row r="27" spans="1:9" ht="13.5">
      <c r="A27" s="75"/>
      <c r="B27" s="49">
        <v>41229</v>
      </c>
      <c r="C27" s="58">
        <f>IF(D27&gt;0,2.956301,0)</f>
        <v>0</v>
      </c>
      <c r="D27" s="60">
        <v>-80</v>
      </c>
      <c r="E27" s="83">
        <f>IF(D27&gt;0,C27/(1+$H$21/100)^(D27/252),0)</f>
        <v>0</v>
      </c>
      <c r="F27" s="48"/>
      <c r="G27" s="48"/>
      <c r="H27" s="77"/>
      <c r="I27" s="73"/>
    </row>
    <row r="28" spans="1:9" ht="13.5">
      <c r="A28" s="75"/>
      <c r="B28" s="93">
        <v>41409</v>
      </c>
      <c r="C28" s="58">
        <f>IF(D28&gt;0,102.956301,0)</f>
        <v>102.956301</v>
      </c>
      <c r="D28" s="60">
        <v>44</v>
      </c>
      <c r="E28" s="83">
        <f>IF(D28&gt;0,C28/(1+$H$21/100)^(D28/252),0)</f>
        <v>101.91414057422764</v>
      </c>
      <c r="F28" s="48"/>
      <c r="G28" s="48"/>
      <c r="H28" s="77"/>
      <c r="I28" s="73"/>
    </row>
    <row r="29" spans="1:9" ht="13.5">
      <c r="A29" s="75"/>
      <c r="B29" s="49"/>
      <c r="C29" s="48"/>
      <c r="D29" s="48"/>
      <c r="E29" s="48"/>
      <c r="F29" s="48"/>
      <c r="G29" s="48"/>
      <c r="H29" s="77"/>
      <c r="I29" s="73"/>
    </row>
    <row r="30" spans="1:9" ht="13.5">
      <c r="A30" s="75"/>
      <c r="B30" s="49"/>
      <c r="C30" s="48"/>
      <c r="D30" s="48"/>
      <c r="E30" s="83"/>
      <c r="F30" s="48"/>
      <c r="G30" s="48"/>
      <c r="H30" s="77"/>
      <c r="I30" s="73"/>
    </row>
    <row r="31" spans="1:9" ht="14.25" thickBot="1">
      <c r="A31" s="84"/>
      <c r="B31" s="85"/>
      <c r="C31" s="86"/>
      <c r="D31" s="87" t="s">
        <v>62</v>
      </c>
      <c r="E31" s="87">
        <f>SUM(E25:E28)</f>
        <v>101.91414057422764</v>
      </c>
      <c r="F31" s="86"/>
      <c r="G31" s="86"/>
      <c r="H31" s="88"/>
      <c r="I31" s="73"/>
    </row>
    <row r="32" spans="1:9" ht="13.5">
      <c r="A32" s="66"/>
      <c r="B32" s="67"/>
      <c r="C32" s="68" t="s">
        <v>59</v>
      </c>
      <c r="D32" s="69"/>
      <c r="E32" s="70">
        <v>186.634</v>
      </c>
      <c r="F32" s="71"/>
      <c r="G32" s="71"/>
      <c r="H32" s="72"/>
      <c r="I32" s="73"/>
    </row>
    <row r="33" spans="1:9" ht="13.5">
      <c r="A33" s="75"/>
      <c r="B33" s="49"/>
      <c r="C33" s="76">
        <v>42139</v>
      </c>
      <c r="D33" s="48"/>
      <c r="E33" s="52"/>
      <c r="F33" s="48"/>
      <c r="G33" s="48"/>
      <c r="H33" s="77"/>
      <c r="I33" s="73"/>
    </row>
    <row r="34" spans="1:9" ht="13.5">
      <c r="A34" s="75"/>
      <c r="B34" s="49"/>
      <c r="C34" s="58"/>
      <c r="D34" s="78"/>
      <c r="E34" s="48"/>
      <c r="F34" s="48"/>
      <c r="G34" s="48"/>
      <c r="H34" s="77"/>
      <c r="I34" s="73"/>
    </row>
    <row r="35" spans="1:9" ht="13.5">
      <c r="A35" s="75"/>
      <c r="B35" s="49"/>
      <c r="C35" s="48"/>
      <c r="D35" s="48"/>
      <c r="E35" s="48"/>
      <c r="F35" s="48"/>
      <c r="G35" s="48"/>
      <c r="H35" s="77"/>
      <c r="I35" s="73"/>
    </row>
    <row r="36" spans="1:9" ht="12.75">
      <c r="A36" s="75"/>
      <c r="B36" s="49"/>
      <c r="C36" s="65"/>
      <c r="D36" s="48"/>
      <c r="E36" s="48"/>
      <c r="F36" s="48"/>
      <c r="G36" s="54"/>
      <c r="H36" s="79" t="s">
        <v>60</v>
      </c>
      <c r="I36" s="74"/>
    </row>
    <row r="37" spans="1:9" ht="12.75">
      <c r="A37" s="75"/>
      <c r="B37" s="48"/>
      <c r="C37" s="54" t="s">
        <v>61</v>
      </c>
      <c r="D37" s="55"/>
      <c r="E37" s="55"/>
      <c r="F37" s="48"/>
      <c r="H37" s="80">
        <v>6</v>
      </c>
      <c r="I37" s="74"/>
    </row>
    <row r="38" spans="1:9" ht="12.75">
      <c r="A38" s="75"/>
      <c r="B38" s="49"/>
      <c r="C38" s="54"/>
      <c r="D38" s="55" t="s">
        <v>63</v>
      </c>
      <c r="E38" s="55" t="s">
        <v>64</v>
      </c>
      <c r="F38" s="48"/>
      <c r="H38" s="77"/>
      <c r="I38" s="74"/>
    </row>
    <row r="39" spans="1:9" ht="12.75">
      <c r="A39" s="75"/>
      <c r="B39" s="49"/>
      <c r="C39" s="58"/>
      <c r="D39" s="55"/>
      <c r="E39" s="54"/>
      <c r="F39" s="48"/>
      <c r="H39" s="82"/>
      <c r="I39" s="74"/>
    </row>
    <row r="40" spans="1:9" ht="12.75">
      <c r="A40" s="75"/>
      <c r="B40" s="49">
        <v>41345</v>
      </c>
      <c r="C40" s="48"/>
      <c r="D40" s="55"/>
      <c r="E40" s="54"/>
      <c r="F40" s="48"/>
      <c r="H40" s="82"/>
      <c r="I40" s="74"/>
    </row>
    <row r="41" spans="1:9" ht="12.75">
      <c r="A41" s="75"/>
      <c r="B41" s="49">
        <v>40863</v>
      </c>
      <c r="C41" s="58">
        <f aca="true" t="shared" si="0" ref="C41:C47">IF(D41&gt;0,2.956301,0)</f>
        <v>0</v>
      </c>
      <c r="D41" s="60">
        <v>-333</v>
      </c>
      <c r="E41" s="83">
        <f aca="true" t="shared" si="1" ref="E41:E48">IF(D41&gt;0,C41/(1+$H$37/100)^(D41/252),0)</f>
        <v>0</v>
      </c>
      <c r="F41" s="48"/>
      <c r="G41" s="48"/>
      <c r="H41" s="77"/>
      <c r="I41" s="74"/>
    </row>
    <row r="42" spans="1:9" ht="12.75">
      <c r="A42" s="75"/>
      <c r="B42" s="49">
        <v>41044</v>
      </c>
      <c r="C42" s="58">
        <f t="shared" si="0"/>
        <v>0</v>
      </c>
      <c r="D42" s="60">
        <v>-208</v>
      </c>
      <c r="E42" s="83">
        <f t="shared" si="1"/>
        <v>0</v>
      </c>
      <c r="F42" s="48"/>
      <c r="G42" s="48"/>
      <c r="H42" s="77"/>
      <c r="I42" s="74"/>
    </row>
    <row r="43" spans="1:9" ht="13.5">
      <c r="A43" s="75"/>
      <c r="B43" s="49">
        <v>41229</v>
      </c>
      <c r="C43" s="58">
        <f t="shared" si="0"/>
        <v>0</v>
      </c>
      <c r="D43" s="60">
        <v>-80</v>
      </c>
      <c r="E43" s="83">
        <f t="shared" si="1"/>
        <v>0</v>
      </c>
      <c r="F43" s="48"/>
      <c r="G43" s="48"/>
      <c r="H43" s="77"/>
      <c r="I43" s="73"/>
    </row>
    <row r="44" spans="1:9" ht="13.5">
      <c r="A44" s="75"/>
      <c r="B44" s="49">
        <v>41409</v>
      </c>
      <c r="C44" s="58">
        <f t="shared" si="0"/>
        <v>2.956301</v>
      </c>
      <c r="D44" s="60">
        <v>44</v>
      </c>
      <c r="E44" s="83">
        <f t="shared" si="1"/>
        <v>2.92637626611828</v>
      </c>
      <c r="F44" s="48"/>
      <c r="G44" s="48"/>
      <c r="H44" s="77"/>
      <c r="I44" s="73"/>
    </row>
    <row r="45" spans="1:9" ht="13.5">
      <c r="A45" s="75"/>
      <c r="B45" s="49">
        <v>41596</v>
      </c>
      <c r="C45" s="58">
        <f t="shared" si="0"/>
        <v>2.956301</v>
      </c>
      <c r="D45" s="60">
        <v>175</v>
      </c>
      <c r="E45" s="83">
        <f t="shared" si="1"/>
        <v>2.8390636728792225</v>
      </c>
      <c r="F45" s="48"/>
      <c r="G45" s="48"/>
      <c r="H45" s="77"/>
      <c r="I45" s="73"/>
    </row>
    <row r="46" spans="1:9" ht="13.5">
      <c r="A46" s="75"/>
      <c r="B46" s="49">
        <v>41774</v>
      </c>
      <c r="C46" s="58">
        <f t="shared" si="0"/>
        <v>2.956301</v>
      </c>
      <c r="D46" s="60">
        <v>296</v>
      </c>
      <c r="E46" s="83">
        <f t="shared" si="1"/>
        <v>2.7607323265266794</v>
      </c>
      <c r="F46" s="48"/>
      <c r="G46" s="48"/>
      <c r="H46" s="77"/>
      <c r="I46" s="73"/>
    </row>
    <row r="47" spans="1:9" ht="13.5">
      <c r="A47" s="75"/>
      <c r="B47" s="49">
        <v>41960</v>
      </c>
      <c r="C47" s="58">
        <f t="shared" si="0"/>
        <v>2.956301</v>
      </c>
      <c r="D47" s="60">
        <v>427</v>
      </c>
      <c r="E47" s="83">
        <f t="shared" si="1"/>
        <v>2.6783619555464364</v>
      </c>
      <c r="F47" s="48"/>
      <c r="G47" s="48"/>
      <c r="H47" s="77"/>
      <c r="I47" s="73"/>
    </row>
    <row r="48" spans="1:11" ht="13.5">
      <c r="A48" s="75"/>
      <c r="B48" s="49">
        <v>42139</v>
      </c>
      <c r="C48" s="58">
        <f>IF(D48&gt;0,102.956301,0)</f>
        <v>102.956301</v>
      </c>
      <c r="D48" s="60">
        <v>549</v>
      </c>
      <c r="E48" s="83">
        <f t="shared" si="1"/>
        <v>90.68225179524109</v>
      </c>
      <c r="F48" s="48"/>
      <c r="G48" s="48"/>
      <c r="H48" s="77"/>
      <c r="I48" s="81"/>
      <c r="J48" s="81"/>
      <c r="K48" s="81"/>
    </row>
    <row r="49" spans="1:9" ht="13.5">
      <c r="A49" s="75"/>
      <c r="B49" s="49"/>
      <c r="C49" s="48"/>
      <c r="D49" s="48"/>
      <c r="E49" s="48"/>
      <c r="F49" s="48"/>
      <c r="G49" s="48"/>
      <c r="H49" s="77"/>
      <c r="I49" s="81"/>
    </row>
    <row r="50" spans="1:9" ht="13.5">
      <c r="A50" s="75"/>
      <c r="B50" s="49"/>
      <c r="C50" s="48"/>
      <c r="D50" s="48"/>
      <c r="E50" s="83"/>
      <c r="F50" s="48"/>
      <c r="G50" s="48"/>
      <c r="H50" s="77"/>
      <c r="I50" s="73"/>
    </row>
    <row r="51" spans="1:9" ht="14.25" thickBot="1">
      <c r="A51" s="84"/>
      <c r="B51" s="85"/>
      <c r="C51" s="86"/>
      <c r="D51" s="87" t="s">
        <v>62</v>
      </c>
      <c r="E51" s="87">
        <f>TRUNC(SUM(E41:E50),4)</f>
        <v>101.8867</v>
      </c>
      <c r="F51" s="86"/>
      <c r="G51" s="86"/>
      <c r="H51" s="88"/>
      <c r="I51" s="73"/>
    </row>
    <row r="52" spans="1:9" ht="13.5">
      <c r="A52" s="66"/>
      <c r="B52" s="67"/>
      <c r="C52" s="68" t="s">
        <v>59</v>
      </c>
      <c r="D52" s="69"/>
      <c r="E52" s="70">
        <v>186.634</v>
      </c>
      <c r="F52" s="71"/>
      <c r="G52" s="71"/>
      <c r="H52" s="72"/>
      <c r="I52" s="73"/>
    </row>
    <row r="53" spans="1:9" ht="13.5">
      <c r="A53" s="75"/>
      <c r="B53" s="49"/>
      <c r="C53" s="76">
        <v>42870</v>
      </c>
      <c r="D53" s="48"/>
      <c r="E53" s="52"/>
      <c r="F53" s="48"/>
      <c r="G53" s="48"/>
      <c r="H53" s="77"/>
      <c r="I53" s="73"/>
    </row>
    <row r="54" spans="1:9" ht="13.5">
      <c r="A54" s="75"/>
      <c r="B54" s="49"/>
      <c r="C54" s="58"/>
      <c r="D54" s="78"/>
      <c r="E54" s="48"/>
      <c r="F54" s="48"/>
      <c r="G54" s="48"/>
      <c r="H54" s="77"/>
      <c r="I54" s="73"/>
    </row>
    <row r="55" spans="1:9" ht="13.5">
      <c r="A55" s="75"/>
      <c r="B55" s="49"/>
      <c r="C55" s="48"/>
      <c r="D55" s="48"/>
      <c r="E55" s="48"/>
      <c r="F55" s="48"/>
      <c r="G55" s="48"/>
      <c r="H55" s="77"/>
      <c r="I55" s="73"/>
    </row>
    <row r="56" spans="1:9" ht="13.5">
      <c r="A56" s="75"/>
      <c r="B56" s="49"/>
      <c r="C56" s="65"/>
      <c r="D56" s="48"/>
      <c r="E56" s="48"/>
      <c r="F56" s="48"/>
      <c r="G56" s="54"/>
      <c r="H56" s="79" t="s">
        <v>60</v>
      </c>
      <c r="I56" s="73"/>
    </row>
    <row r="57" spans="1:9" ht="13.5">
      <c r="A57" s="75"/>
      <c r="B57" s="48"/>
      <c r="C57" s="54" t="s">
        <v>61</v>
      </c>
      <c r="D57" s="55"/>
      <c r="E57" s="55"/>
      <c r="F57" s="48"/>
      <c r="H57" s="80">
        <v>6</v>
      </c>
      <c r="I57" s="73"/>
    </row>
    <row r="58" spans="1:9" ht="13.5">
      <c r="A58" s="75"/>
      <c r="B58" s="49"/>
      <c r="C58" s="54"/>
      <c r="D58" s="55" t="s">
        <v>63</v>
      </c>
      <c r="E58" s="55" t="s">
        <v>64</v>
      </c>
      <c r="F58" s="48"/>
      <c r="H58" s="92"/>
      <c r="I58" s="73"/>
    </row>
    <row r="59" spans="1:9" ht="13.5">
      <c r="A59" s="75"/>
      <c r="B59" s="49"/>
      <c r="C59" s="89"/>
      <c r="D59" s="55"/>
      <c r="E59" s="54"/>
      <c r="F59" s="48"/>
      <c r="H59" s="82"/>
      <c r="I59" s="73"/>
    </row>
    <row r="60" spans="1:9" ht="13.5">
      <c r="A60" s="75"/>
      <c r="B60" s="49">
        <f ca="1">TODAY()</f>
        <v>41413</v>
      </c>
      <c r="C60" s="90"/>
      <c r="D60" s="55"/>
      <c r="E60" s="54"/>
      <c r="F60" s="48"/>
      <c r="H60" s="82"/>
      <c r="I60" s="73"/>
    </row>
    <row r="61" spans="1:9" ht="13.5">
      <c r="A61" s="75"/>
      <c r="B61" s="49">
        <v>40863</v>
      </c>
      <c r="C61" s="58">
        <f aca="true" t="shared" si="2" ref="C61:C69">IF(D61&gt;0,2.956301,0)</f>
        <v>0</v>
      </c>
      <c r="D61" s="60">
        <v>-333</v>
      </c>
      <c r="E61" s="83">
        <f aca="true" t="shared" si="3" ref="E61:E72">IF(D61&gt;0,C61/(1+$H$57/100)^(D61/252),0)</f>
        <v>0</v>
      </c>
      <c r="F61" s="48"/>
      <c r="G61" s="48"/>
      <c r="H61" s="77"/>
      <c r="I61" s="73"/>
    </row>
    <row r="62" spans="1:9" ht="13.5">
      <c r="A62" s="75"/>
      <c r="B62" s="49">
        <v>41044</v>
      </c>
      <c r="C62" s="58">
        <f t="shared" si="2"/>
        <v>0</v>
      </c>
      <c r="D62" s="60">
        <v>-208</v>
      </c>
      <c r="E62" s="83">
        <f t="shared" si="3"/>
        <v>0</v>
      </c>
      <c r="F62" s="48"/>
      <c r="G62" s="48"/>
      <c r="H62" s="77"/>
      <c r="I62" s="73"/>
    </row>
    <row r="63" spans="1:9" ht="13.5">
      <c r="A63" s="75"/>
      <c r="B63" s="49">
        <v>41229</v>
      </c>
      <c r="C63" s="58">
        <f t="shared" si="2"/>
        <v>0</v>
      </c>
      <c r="D63" s="60">
        <v>-80</v>
      </c>
      <c r="E63" s="83">
        <f t="shared" si="3"/>
        <v>0</v>
      </c>
      <c r="F63" s="48"/>
      <c r="G63" s="48"/>
      <c r="H63" s="77"/>
      <c r="I63" s="73"/>
    </row>
    <row r="64" spans="1:9" ht="13.5">
      <c r="A64" s="75"/>
      <c r="B64" s="49">
        <v>41409</v>
      </c>
      <c r="C64" s="58">
        <f t="shared" si="2"/>
        <v>2.956301</v>
      </c>
      <c r="D64" s="60">
        <v>44</v>
      </c>
      <c r="E64" s="83">
        <f t="shared" si="3"/>
        <v>2.92637626611828</v>
      </c>
      <c r="F64" s="48"/>
      <c r="G64" s="48"/>
      <c r="H64" s="77"/>
      <c r="I64" s="73"/>
    </row>
    <row r="65" spans="1:9" ht="13.5">
      <c r="A65" s="75"/>
      <c r="B65" s="49">
        <v>41596</v>
      </c>
      <c r="C65" s="58">
        <f t="shared" si="2"/>
        <v>2.956301</v>
      </c>
      <c r="D65" s="60">
        <v>175</v>
      </c>
      <c r="E65" s="83">
        <f t="shared" si="3"/>
        <v>2.8390636728792225</v>
      </c>
      <c r="F65" s="48"/>
      <c r="G65" s="48"/>
      <c r="H65" s="77"/>
      <c r="I65" s="73"/>
    </row>
    <row r="66" spans="1:9" ht="13.5">
      <c r="A66" s="75"/>
      <c r="B66" s="49">
        <v>41774</v>
      </c>
      <c r="C66" s="58">
        <f t="shared" si="2"/>
        <v>2.956301</v>
      </c>
      <c r="D66" s="60">
        <v>296</v>
      </c>
      <c r="E66" s="83">
        <f t="shared" si="3"/>
        <v>2.7607323265266794</v>
      </c>
      <c r="F66" s="48"/>
      <c r="G66" s="48"/>
      <c r="H66" s="77"/>
      <c r="I66" s="73"/>
    </row>
    <row r="67" spans="1:9" ht="13.5">
      <c r="A67" s="75"/>
      <c r="B67" s="49">
        <v>41960</v>
      </c>
      <c r="C67" s="58">
        <f t="shared" si="2"/>
        <v>2.956301</v>
      </c>
      <c r="D67" s="60">
        <v>427</v>
      </c>
      <c r="E67" s="83">
        <f t="shared" si="3"/>
        <v>2.6783619555464364</v>
      </c>
      <c r="F67" s="48"/>
      <c r="G67" s="48"/>
      <c r="H67" s="77"/>
      <c r="I67" s="73"/>
    </row>
    <row r="68" spans="1:9" ht="13.5">
      <c r="A68" s="75"/>
      <c r="B68" s="49">
        <v>42139</v>
      </c>
      <c r="C68" s="58">
        <f t="shared" si="2"/>
        <v>2.956301</v>
      </c>
      <c r="D68" s="60">
        <v>549</v>
      </c>
      <c r="E68" s="83">
        <f t="shared" si="3"/>
        <v>2.603862309160884</v>
      </c>
      <c r="F68" s="48"/>
      <c r="G68" s="48"/>
      <c r="H68" s="77"/>
      <c r="I68" s="81"/>
    </row>
    <row r="69" spans="1:9" ht="13.5">
      <c r="A69" s="75"/>
      <c r="B69" s="49">
        <v>42324</v>
      </c>
      <c r="C69" s="58">
        <f t="shared" si="2"/>
        <v>2.956301</v>
      </c>
      <c r="D69" s="60">
        <v>676</v>
      </c>
      <c r="E69" s="83">
        <f t="shared" si="3"/>
        <v>2.528509924018372</v>
      </c>
      <c r="F69" s="48"/>
      <c r="G69" s="48"/>
      <c r="H69" s="77"/>
      <c r="I69" s="73"/>
    </row>
    <row r="70" spans="1:9" ht="13.5">
      <c r="A70" s="75"/>
      <c r="B70" s="49">
        <v>42506</v>
      </c>
      <c r="C70" s="58">
        <f>IF(D70&gt;0,2.956301,0)</f>
        <v>2.956301</v>
      </c>
      <c r="D70" s="60">
        <v>800</v>
      </c>
      <c r="E70" s="83">
        <f t="shared" si="3"/>
        <v>2.457041942440975</v>
      </c>
      <c r="F70" s="48"/>
      <c r="G70" s="48"/>
      <c r="H70" s="77"/>
      <c r="I70" s="73"/>
    </row>
    <row r="71" spans="1:9" ht="13.5">
      <c r="A71" s="75"/>
      <c r="B71" s="49">
        <v>42690</v>
      </c>
      <c r="C71" s="58">
        <f>IF(D71&gt;0,2.956301,0)</f>
        <v>2.956301</v>
      </c>
      <c r="D71" s="60">
        <v>927</v>
      </c>
      <c r="E71" s="83">
        <f t="shared" si="3"/>
        <v>2.3859383475593456</v>
      </c>
      <c r="F71" s="48"/>
      <c r="G71" s="48"/>
      <c r="H71" s="77"/>
      <c r="I71" s="73"/>
    </row>
    <row r="72" spans="1:9" ht="13.5">
      <c r="A72" s="75"/>
      <c r="B72" s="49">
        <v>42870</v>
      </c>
      <c r="C72" s="58">
        <f>IF(D72&gt;0,102.956301,0)</f>
        <v>102.956301</v>
      </c>
      <c r="D72" s="60">
        <v>1050</v>
      </c>
      <c r="E72" s="83">
        <f t="shared" si="3"/>
        <v>80.76288523816923</v>
      </c>
      <c r="F72" s="48"/>
      <c r="G72" s="48"/>
      <c r="H72" s="77"/>
      <c r="I72" s="73"/>
    </row>
    <row r="73" spans="1:9" ht="13.5">
      <c r="A73" s="75"/>
      <c r="B73" s="49"/>
      <c r="C73" s="48"/>
      <c r="D73" s="48"/>
      <c r="E73" s="48"/>
      <c r="F73" s="48"/>
      <c r="G73" s="48"/>
      <c r="H73" s="77"/>
      <c r="I73" s="73"/>
    </row>
    <row r="74" spans="1:9" ht="13.5">
      <c r="A74" s="75"/>
      <c r="B74" s="49"/>
      <c r="C74" s="48"/>
      <c r="D74" s="48"/>
      <c r="E74" s="83"/>
      <c r="F74" s="48"/>
      <c r="G74" s="48"/>
      <c r="H74" s="77"/>
      <c r="I74" s="73"/>
    </row>
    <row r="75" spans="1:9" ht="14.25" thickBot="1">
      <c r="A75" s="84"/>
      <c r="B75" s="85"/>
      <c r="C75" s="86"/>
      <c r="D75" s="87" t="s">
        <v>62</v>
      </c>
      <c r="E75" s="87">
        <f>SUM(E61:E74)</f>
        <v>101.94277198241943</v>
      </c>
      <c r="F75" s="86"/>
      <c r="G75" s="86"/>
      <c r="H75" s="88"/>
      <c r="I75" s="73"/>
    </row>
    <row r="76" spans="1:9" ht="13.5">
      <c r="A76" s="66"/>
      <c r="B76" s="67"/>
      <c r="C76" s="68" t="s">
        <v>59</v>
      </c>
      <c r="D76" s="69"/>
      <c r="E76" s="70">
        <v>186.634</v>
      </c>
      <c r="F76" s="71"/>
      <c r="G76" s="71"/>
      <c r="H76" s="72"/>
      <c r="I76" s="73"/>
    </row>
    <row r="77" spans="1:9" ht="13.5">
      <c r="A77" s="75"/>
      <c r="B77" s="49"/>
      <c r="C77" s="76">
        <v>45519</v>
      </c>
      <c r="D77" s="48"/>
      <c r="E77" s="52"/>
      <c r="F77" s="48"/>
      <c r="G77" s="48"/>
      <c r="H77" s="77"/>
      <c r="I77" s="73"/>
    </row>
    <row r="78" spans="1:9" ht="13.5">
      <c r="A78" s="75"/>
      <c r="B78" s="49"/>
      <c r="C78" s="58"/>
      <c r="D78" s="78"/>
      <c r="E78" s="48"/>
      <c r="F78" s="48"/>
      <c r="G78" s="48"/>
      <c r="H78" s="77"/>
      <c r="I78" s="73"/>
    </row>
    <row r="79" spans="1:9" ht="13.5">
      <c r="A79" s="75"/>
      <c r="B79" s="49"/>
      <c r="C79" s="48"/>
      <c r="D79" s="48"/>
      <c r="E79" s="48"/>
      <c r="F79" s="48"/>
      <c r="G79" s="48"/>
      <c r="H79" s="77"/>
      <c r="I79" s="73"/>
    </row>
    <row r="80" spans="1:9" ht="13.5">
      <c r="A80" s="75"/>
      <c r="B80" s="49"/>
      <c r="C80" s="65"/>
      <c r="D80" s="48"/>
      <c r="E80" s="48"/>
      <c r="F80" s="48"/>
      <c r="G80" s="54"/>
      <c r="H80" s="79" t="s">
        <v>60</v>
      </c>
      <c r="I80" s="73"/>
    </row>
    <row r="81" spans="1:9" ht="13.5">
      <c r="A81" s="75"/>
      <c r="B81" s="48"/>
      <c r="C81" s="54"/>
      <c r="D81" s="55"/>
      <c r="E81" s="55"/>
      <c r="F81" s="48"/>
      <c r="H81" s="80">
        <v>6</v>
      </c>
      <c r="I81" s="73"/>
    </row>
    <row r="82" spans="1:9" ht="13.5">
      <c r="A82" s="75"/>
      <c r="B82" s="49"/>
      <c r="C82" s="56" t="s">
        <v>55</v>
      </c>
      <c r="D82" s="57" t="s">
        <v>56</v>
      </c>
      <c r="E82" s="57" t="s">
        <v>57</v>
      </c>
      <c r="F82" s="48"/>
      <c r="H82" s="92"/>
      <c r="I82" s="73"/>
    </row>
    <row r="83" spans="1:9" ht="13.5">
      <c r="A83" s="75"/>
      <c r="B83" s="49"/>
      <c r="C83" s="58"/>
      <c r="D83" s="55"/>
      <c r="E83" s="54"/>
      <c r="F83" s="48"/>
      <c r="H83" s="82"/>
      <c r="I83" s="73"/>
    </row>
    <row r="84" spans="1:9" ht="13.5">
      <c r="A84" s="75"/>
      <c r="B84" s="49">
        <f ca="1">TODAY()</f>
        <v>41413</v>
      </c>
      <c r="C84" s="48"/>
      <c r="D84" s="55"/>
      <c r="E84" s="54"/>
      <c r="F84" s="48"/>
      <c r="H84" s="82"/>
      <c r="I84" s="73"/>
    </row>
    <row r="85" spans="1:9" ht="13.5">
      <c r="A85" s="75"/>
      <c r="B85" s="49">
        <v>40770</v>
      </c>
      <c r="C85" s="58">
        <f aca="true" t="shared" si="4" ref="C85:C109">IF(D85&gt;0,2.956301,0)</f>
        <v>0</v>
      </c>
      <c r="D85" s="60">
        <v>-396</v>
      </c>
      <c r="E85" s="83">
        <f>IF(D85&gt;0,C85/(1+$H$81/100)^(D85/252),0)</f>
        <v>0</v>
      </c>
      <c r="F85" s="48"/>
      <c r="G85" s="48"/>
      <c r="H85" s="77"/>
      <c r="I85" s="73"/>
    </row>
    <row r="86" spans="1:9" ht="13.5">
      <c r="A86" s="75"/>
      <c r="B86" s="49">
        <v>40954</v>
      </c>
      <c r="C86" s="58">
        <f t="shared" si="4"/>
        <v>0</v>
      </c>
      <c r="D86" s="60">
        <v>-268</v>
      </c>
      <c r="E86" s="83">
        <f aca="true" t="shared" si="5" ref="E86:E111">IF(D86&gt;0,C86/(1+$H$81/100)^(D86/252),0)</f>
        <v>0</v>
      </c>
      <c r="F86" s="48"/>
      <c r="G86" s="48"/>
      <c r="H86" s="77"/>
      <c r="I86" s="73"/>
    </row>
    <row r="87" spans="1:9" ht="13.5">
      <c r="A87" s="75"/>
      <c r="B87" s="49">
        <v>41136</v>
      </c>
      <c r="C87" s="58">
        <f t="shared" si="4"/>
        <v>0</v>
      </c>
      <c r="D87" s="60">
        <v>-143</v>
      </c>
      <c r="E87" s="83">
        <f t="shared" si="5"/>
        <v>0</v>
      </c>
      <c r="F87" s="48"/>
      <c r="G87" s="48"/>
      <c r="H87" s="77"/>
      <c r="I87" s="73"/>
    </row>
    <row r="88" spans="1:9" ht="13.5">
      <c r="A88" s="75"/>
      <c r="B88" s="49">
        <v>41320</v>
      </c>
      <c r="C88" s="58">
        <f t="shared" si="4"/>
        <v>0</v>
      </c>
      <c r="D88" s="60">
        <v>-19</v>
      </c>
      <c r="E88" s="83">
        <f t="shared" si="5"/>
        <v>0</v>
      </c>
      <c r="F88" s="48"/>
      <c r="G88" s="48"/>
      <c r="H88" s="77"/>
      <c r="I88" s="73"/>
    </row>
    <row r="89" spans="1:9" ht="13.5">
      <c r="A89" s="75"/>
      <c r="B89" s="49">
        <v>41501</v>
      </c>
      <c r="C89" s="58">
        <f t="shared" si="4"/>
        <v>2.956301</v>
      </c>
      <c r="D89" s="60">
        <v>109</v>
      </c>
      <c r="E89" s="83">
        <f t="shared" si="5"/>
        <v>2.882722642843713</v>
      </c>
      <c r="F89" s="48"/>
      <c r="G89" s="48"/>
      <c r="H89" s="77"/>
      <c r="I89" s="73"/>
    </row>
    <row r="90" spans="1:9" ht="13.5">
      <c r="A90" s="75"/>
      <c r="B90" s="49">
        <v>41687</v>
      </c>
      <c r="C90" s="58">
        <f t="shared" si="4"/>
        <v>2.956301</v>
      </c>
      <c r="D90" s="60">
        <v>238</v>
      </c>
      <c r="E90" s="83">
        <f t="shared" si="5"/>
        <v>2.798006160895284</v>
      </c>
      <c r="F90" s="48"/>
      <c r="G90" s="48"/>
      <c r="H90" s="77"/>
      <c r="I90" s="73"/>
    </row>
    <row r="91" spans="1:9" ht="13.5">
      <c r="A91" s="75"/>
      <c r="B91" s="49">
        <v>41866</v>
      </c>
      <c r="C91" s="58">
        <f t="shared" si="4"/>
        <v>2.956301</v>
      </c>
      <c r="D91" s="60">
        <v>361</v>
      </c>
      <c r="E91" s="83">
        <f t="shared" si="5"/>
        <v>2.719549663060107</v>
      </c>
      <c r="F91" s="48"/>
      <c r="G91" s="48"/>
      <c r="H91" s="77"/>
      <c r="I91" s="73"/>
    </row>
    <row r="92" spans="1:9" ht="13.5">
      <c r="A92" s="75"/>
      <c r="B92" s="49">
        <v>42053</v>
      </c>
      <c r="C92" s="58">
        <f t="shared" si="4"/>
        <v>2.956301</v>
      </c>
      <c r="D92" s="60">
        <v>490</v>
      </c>
      <c r="E92" s="83">
        <f t="shared" si="5"/>
        <v>2.6396284536747965</v>
      </c>
      <c r="F92" s="48"/>
      <c r="G92" s="48"/>
      <c r="H92" s="77"/>
      <c r="I92" s="81"/>
    </row>
    <row r="93" spans="1:9" ht="13.5">
      <c r="A93" s="75"/>
      <c r="B93" s="49">
        <v>42233</v>
      </c>
      <c r="C93" s="58">
        <f t="shared" si="4"/>
        <v>2.956301</v>
      </c>
      <c r="D93" s="60">
        <v>614</v>
      </c>
      <c r="E93" s="83">
        <f t="shared" si="5"/>
        <v>2.56501972230047</v>
      </c>
      <c r="F93" s="48"/>
      <c r="G93" s="48"/>
      <c r="H93" s="77"/>
      <c r="I93" s="73"/>
    </row>
    <row r="94" spans="1:9" ht="13.5">
      <c r="A94" s="75"/>
      <c r="B94" s="49">
        <v>42415</v>
      </c>
      <c r="C94" s="58">
        <f t="shared" si="4"/>
        <v>2.956301</v>
      </c>
      <c r="D94" s="60">
        <v>737</v>
      </c>
      <c r="E94" s="83">
        <f t="shared" si="5"/>
        <v>2.4930961979342974</v>
      </c>
      <c r="F94" s="48"/>
      <c r="G94" s="48"/>
      <c r="H94" s="77"/>
      <c r="I94" s="73"/>
    </row>
    <row r="95" spans="1:9" ht="13.5">
      <c r="A95" s="75"/>
      <c r="B95" s="49">
        <v>42597</v>
      </c>
      <c r="C95" s="58">
        <f t="shared" si="4"/>
        <v>2.956301</v>
      </c>
      <c r="D95" s="60">
        <v>864</v>
      </c>
      <c r="E95" s="83">
        <f t="shared" si="5"/>
        <v>2.4209492398393366</v>
      </c>
      <c r="F95" s="48"/>
      <c r="G95" s="48"/>
      <c r="H95" s="77"/>
      <c r="I95" s="73"/>
    </row>
    <row r="96" spans="1:9" ht="13.5">
      <c r="A96" s="75"/>
      <c r="B96" s="49">
        <v>42781</v>
      </c>
      <c r="C96" s="58">
        <f t="shared" si="4"/>
        <v>2.956301</v>
      </c>
      <c r="D96" s="60">
        <v>992</v>
      </c>
      <c r="E96" s="83">
        <f t="shared" si="5"/>
        <v>2.350346597111323</v>
      </c>
      <c r="F96" s="48"/>
      <c r="G96" s="48"/>
      <c r="H96" s="77"/>
      <c r="I96" s="73"/>
    </row>
    <row r="97" spans="1:9" ht="13.5">
      <c r="A97" s="75"/>
      <c r="B97" s="49">
        <v>42962</v>
      </c>
      <c r="C97" s="58">
        <f t="shared" si="4"/>
        <v>2.956301</v>
      </c>
      <c r="D97" s="60">
        <v>1115</v>
      </c>
      <c r="E97" s="83">
        <f t="shared" si="5"/>
        <v>2.2844425382549343</v>
      </c>
      <c r="F97" s="48"/>
      <c r="G97" s="48"/>
      <c r="H97" s="77"/>
      <c r="I97" s="73"/>
    </row>
    <row r="98" spans="1:9" ht="13.5">
      <c r="A98" s="75"/>
      <c r="B98" s="49">
        <v>43146</v>
      </c>
      <c r="C98" s="58">
        <f t="shared" si="4"/>
        <v>2.956301</v>
      </c>
      <c r="D98" s="60">
        <v>1239</v>
      </c>
      <c r="E98" s="83">
        <f t="shared" si="5"/>
        <v>2.219873087414432</v>
      </c>
      <c r="F98" s="48"/>
      <c r="G98" s="48"/>
      <c r="H98" s="77"/>
      <c r="I98" s="73"/>
    </row>
    <row r="99" spans="1:9" ht="13.5">
      <c r="A99" s="75"/>
      <c r="B99" s="49">
        <v>43327</v>
      </c>
      <c r="C99" s="58">
        <f t="shared" si="4"/>
        <v>2.956301</v>
      </c>
      <c r="D99" s="60">
        <v>1365</v>
      </c>
      <c r="E99" s="83">
        <f t="shared" si="5"/>
        <v>2.1561313460330087</v>
      </c>
      <c r="F99" s="48"/>
      <c r="G99" s="48"/>
      <c r="H99" s="77"/>
      <c r="I99" s="73"/>
    </row>
    <row r="100" spans="1:9" ht="13.5">
      <c r="A100" s="75"/>
      <c r="B100" s="49">
        <v>43511</v>
      </c>
      <c r="C100" s="58">
        <f t="shared" si="4"/>
        <v>2.956301</v>
      </c>
      <c r="D100" s="60">
        <v>1491</v>
      </c>
      <c r="E100" s="83">
        <f t="shared" si="5"/>
        <v>2.0942198937871996</v>
      </c>
      <c r="F100" s="48"/>
      <c r="G100" s="48"/>
      <c r="H100" s="77"/>
      <c r="I100" s="73"/>
    </row>
    <row r="101" spans="1:9" ht="13.5">
      <c r="A101" s="75"/>
      <c r="B101" s="49">
        <v>43692</v>
      </c>
      <c r="C101" s="58">
        <f t="shared" si="4"/>
        <v>2.956301</v>
      </c>
      <c r="D101" s="60">
        <v>1615</v>
      </c>
      <c r="E101" s="83">
        <f t="shared" si="5"/>
        <v>2.0350270595544813</v>
      </c>
      <c r="F101" s="48"/>
      <c r="G101" s="48"/>
      <c r="H101" s="77"/>
      <c r="I101" s="73"/>
    </row>
    <row r="102" spans="1:9" ht="13.5">
      <c r="A102" s="75"/>
      <c r="B102" s="49">
        <v>43878</v>
      </c>
      <c r="C102" s="58">
        <f t="shared" si="4"/>
        <v>2.956301</v>
      </c>
      <c r="D102" s="60">
        <v>1744</v>
      </c>
      <c r="E102" s="83">
        <f t="shared" si="5"/>
        <v>1.9752223698514009</v>
      </c>
      <c r="F102" s="48"/>
      <c r="G102" s="48"/>
      <c r="H102" s="77"/>
      <c r="I102" s="73"/>
    </row>
    <row r="103" spans="1:9" ht="13.5">
      <c r="A103" s="75"/>
      <c r="B103" s="49">
        <v>44060</v>
      </c>
      <c r="C103" s="58">
        <f t="shared" si="4"/>
        <v>2.956301</v>
      </c>
      <c r="D103" s="60">
        <v>1868</v>
      </c>
      <c r="E103" s="83">
        <f t="shared" si="5"/>
        <v>1.9193929840938557</v>
      </c>
      <c r="F103" s="48"/>
      <c r="G103" s="48"/>
      <c r="H103" s="77"/>
      <c r="I103" s="73"/>
    </row>
    <row r="104" spans="1:9" ht="13.5">
      <c r="A104" s="75"/>
      <c r="B104" s="49">
        <v>44244</v>
      </c>
      <c r="C104" s="58">
        <f t="shared" si="4"/>
        <v>2.956301</v>
      </c>
      <c r="D104" s="60">
        <v>1993</v>
      </c>
      <c r="E104" s="83">
        <f t="shared" si="5"/>
        <v>1.864710389112964</v>
      </c>
      <c r="F104" s="48"/>
      <c r="G104" s="48"/>
      <c r="H104" s="77"/>
      <c r="I104" s="73"/>
    </row>
    <row r="105" spans="1:9" ht="13.5">
      <c r="A105" s="75"/>
      <c r="B105" s="49">
        <v>44424</v>
      </c>
      <c r="C105" s="58">
        <f t="shared" si="4"/>
        <v>2.956301</v>
      </c>
      <c r="D105" s="60">
        <v>2118</v>
      </c>
      <c r="E105" s="83">
        <f t="shared" si="5"/>
        <v>1.8115856753052475</v>
      </c>
      <c r="F105" s="48"/>
      <c r="G105" s="48"/>
      <c r="H105" s="77"/>
      <c r="I105" s="73"/>
    </row>
    <row r="106" spans="1:9" ht="13.5">
      <c r="A106" s="75"/>
      <c r="B106" s="49">
        <v>44607</v>
      </c>
      <c r="C106" s="58">
        <f t="shared" si="4"/>
        <v>2.956301</v>
      </c>
      <c r="D106" s="60">
        <v>2245</v>
      </c>
      <c r="E106" s="83">
        <f t="shared" si="5"/>
        <v>1.7591607444461925</v>
      </c>
      <c r="F106" s="48"/>
      <c r="G106" s="48"/>
      <c r="H106" s="77"/>
      <c r="I106" s="73"/>
    </row>
    <row r="107" spans="1:9" ht="13.5">
      <c r="A107" s="75"/>
      <c r="B107" s="49">
        <v>44788</v>
      </c>
      <c r="C107" s="58">
        <f t="shared" si="4"/>
        <v>2.956301</v>
      </c>
      <c r="D107" s="60">
        <v>2369</v>
      </c>
      <c r="E107" s="83">
        <f t="shared" si="5"/>
        <v>1.709438310501398</v>
      </c>
      <c r="F107" s="48"/>
      <c r="G107" s="48"/>
      <c r="H107" s="77"/>
      <c r="I107" s="73"/>
    </row>
    <row r="108" spans="1:9" ht="13.5">
      <c r="A108" s="75"/>
      <c r="B108" s="49">
        <v>44972</v>
      </c>
      <c r="C108" s="58">
        <f t="shared" si="4"/>
        <v>2.956301</v>
      </c>
      <c r="D108" s="60">
        <v>2497</v>
      </c>
      <c r="E108" s="83">
        <f t="shared" si="5"/>
        <v>1.6595856079681062</v>
      </c>
      <c r="F108" s="48"/>
      <c r="G108" s="48"/>
      <c r="H108" s="77"/>
      <c r="I108" s="73"/>
    </row>
    <row r="109" spans="1:9" ht="13.5">
      <c r="A109" s="75"/>
      <c r="B109" s="49">
        <v>45153</v>
      </c>
      <c r="C109" s="58">
        <f t="shared" si="4"/>
        <v>2.956301</v>
      </c>
      <c r="D109" s="60">
        <v>2620</v>
      </c>
      <c r="E109" s="83">
        <f t="shared" si="5"/>
        <v>1.6130505872527907</v>
      </c>
      <c r="F109" s="48"/>
      <c r="G109" s="48"/>
      <c r="H109" s="77"/>
      <c r="I109" s="73"/>
    </row>
    <row r="110" spans="1:9" ht="13.5">
      <c r="A110" s="75"/>
      <c r="B110" s="49">
        <v>45337</v>
      </c>
      <c r="C110" s="58">
        <f>IF(D110&gt;0,2.956301,0)</f>
        <v>2.956301</v>
      </c>
      <c r="D110" s="60">
        <v>2744</v>
      </c>
      <c r="E110" s="83">
        <f t="shared" si="5"/>
        <v>1.5674579365939456</v>
      </c>
      <c r="F110" s="48"/>
      <c r="G110" s="48"/>
      <c r="H110" s="77"/>
      <c r="I110" s="73"/>
    </row>
    <row r="111" spans="1:9" ht="13.5">
      <c r="A111" s="75"/>
      <c r="B111" s="49">
        <v>45519</v>
      </c>
      <c r="C111" s="58">
        <f>IF(D111&gt;0,102.956301,0)</f>
        <v>102.956301</v>
      </c>
      <c r="D111" s="60">
        <v>2871</v>
      </c>
      <c r="E111" s="83">
        <f t="shared" si="5"/>
        <v>53.008659656054256</v>
      </c>
      <c r="F111" s="48"/>
      <c r="G111" s="48"/>
      <c r="H111" s="77"/>
      <c r="I111" s="73"/>
    </row>
    <row r="112" spans="1:9" ht="13.5">
      <c r="A112" s="75"/>
      <c r="B112" s="49"/>
      <c r="C112" s="48"/>
      <c r="D112" s="48"/>
      <c r="E112" s="48"/>
      <c r="F112" s="48"/>
      <c r="G112" s="48"/>
      <c r="H112" s="77"/>
      <c r="I112" s="73"/>
    </row>
    <row r="113" spans="1:9" ht="13.5">
      <c r="A113" s="75"/>
      <c r="B113" s="49"/>
      <c r="C113" s="48"/>
      <c r="D113" s="48"/>
      <c r="E113" s="83"/>
      <c r="F113" s="48"/>
      <c r="G113" s="48"/>
      <c r="H113" s="77"/>
      <c r="I113" s="73"/>
    </row>
    <row r="114" spans="1:9" ht="14.25" thickBot="1">
      <c r="A114" s="84"/>
      <c r="B114" s="85"/>
      <c r="C114" s="86"/>
      <c r="D114" s="87" t="s">
        <v>62</v>
      </c>
      <c r="E114" s="87">
        <f>SUM(E85:E113)</f>
        <v>100.54727686388352</v>
      </c>
      <c r="F114" s="86"/>
      <c r="G114" s="86"/>
      <c r="H114" s="88"/>
      <c r="I114" s="73"/>
    </row>
    <row r="115" spans="1:9" ht="13.5">
      <c r="A115" s="66"/>
      <c r="B115" s="67"/>
      <c r="C115" s="68" t="s">
        <v>59</v>
      </c>
      <c r="D115" s="69"/>
      <c r="E115" s="70">
        <v>186.634</v>
      </c>
      <c r="F115" s="71"/>
      <c r="G115" s="71"/>
      <c r="H115" s="72"/>
      <c r="I115" s="73"/>
    </row>
    <row r="116" spans="1:9" ht="13.5">
      <c r="A116" s="75"/>
      <c r="B116" s="49"/>
      <c r="C116" s="76">
        <v>49444</v>
      </c>
      <c r="D116" s="48"/>
      <c r="E116" s="52"/>
      <c r="F116" s="48"/>
      <c r="G116" s="48"/>
      <c r="H116" s="77"/>
      <c r="I116" s="73"/>
    </row>
    <row r="117" spans="1:9" ht="13.5">
      <c r="A117" s="75"/>
      <c r="B117" s="49"/>
      <c r="C117" s="58"/>
      <c r="D117" s="78"/>
      <c r="E117" s="48"/>
      <c r="F117" s="48"/>
      <c r="G117" s="48"/>
      <c r="H117" s="77"/>
      <c r="I117" s="73"/>
    </row>
    <row r="118" spans="1:9" ht="13.5">
      <c r="A118" s="75"/>
      <c r="B118" s="49"/>
      <c r="C118" s="48"/>
      <c r="D118" s="48"/>
      <c r="E118" s="48"/>
      <c r="F118" s="48"/>
      <c r="G118" s="48"/>
      <c r="H118" s="77"/>
      <c r="I118" s="73"/>
    </row>
    <row r="119" spans="1:9" ht="13.5">
      <c r="A119" s="75"/>
      <c r="B119" s="49"/>
      <c r="C119" s="65"/>
      <c r="D119" s="48"/>
      <c r="E119" s="48"/>
      <c r="F119" s="48"/>
      <c r="G119" s="54"/>
      <c r="H119" s="79" t="s">
        <v>60</v>
      </c>
      <c r="I119" s="73"/>
    </row>
    <row r="120" spans="1:9" ht="13.5">
      <c r="A120" s="75"/>
      <c r="B120" s="48"/>
      <c r="C120" s="54" t="s">
        <v>61</v>
      </c>
      <c r="D120" s="55"/>
      <c r="E120" s="55"/>
      <c r="F120" s="48"/>
      <c r="H120" s="80"/>
      <c r="I120" s="73"/>
    </row>
    <row r="121" spans="1:9" ht="13.5">
      <c r="A121" s="75"/>
      <c r="B121" s="49"/>
      <c r="C121" s="54"/>
      <c r="D121" s="55" t="s">
        <v>63</v>
      </c>
      <c r="E121" s="55" t="s">
        <v>64</v>
      </c>
      <c r="F121" s="48"/>
      <c r="H121" s="92"/>
      <c r="I121" s="73"/>
    </row>
    <row r="122" spans="1:9" ht="13.5">
      <c r="A122" s="75"/>
      <c r="B122" s="49"/>
      <c r="C122" s="58"/>
      <c r="D122" s="55"/>
      <c r="E122" s="54"/>
      <c r="F122" s="48"/>
      <c r="H122" s="82"/>
      <c r="I122" s="73"/>
    </row>
    <row r="123" spans="1:9" ht="13.5">
      <c r="A123" s="75"/>
      <c r="B123" s="49">
        <f ca="1">TODAY()</f>
        <v>41413</v>
      </c>
      <c r="C123" s="58"/>
      <c r="D123" s="60"/>
      <c r="E123" s="83"/>
      <c r="F123" s="48"/>
      <c r="H123" s="82"/>
      <c r="I123" s="73"/>
    </row>
    <row r="124" spans="1:9" ht="13.5">
      <c r="A124" s="94"/>
      <c r="B124" s="49">
        <v>40863</v>
      </c>
      <c r="C124" s="58">
        <f aca="true" t="shared" si="6" ref="C124:C170">IF(D124&gt;0,2.956301,0)</f>
        <v>0</v>
      </c>
      <c r="D124" s="60">
        <v>-333</v>
      </c>
      <c r="E124" s="83">
        <f aca="true" t="shared" si="7" ref="E124:E171">IF(D124&gt;0,C124/(1+$H$81/100)^(D124/252),0)</f>
        <v>0</v>
      </c>
      <c r="F124" s="48"/>
      <c r="G124" s="48"/>
      <c r="H124" s="74"/>
      <c r="I124" s="73"/>
    </row>
    <row r="125" spans="1:9" ht="13.5">
      <c r="A125" s="94"/>
      <c r="B125" s="49">
        <v>41044</v>
      </c>
      <c r="C125" s="58">
        <f t="shared" si="6"/>
        <v>0</v>
      </c>
      <c r="D125" s="60">
        <v>-208</v>
      </c>
      <c r="E125" s="83">
        <f t="shared" si="7"/>
        <v>0</v>
      </c>
      <c r="F125" s="48"/>
      <c r="G125" s="48"/>
      <c r="H125" s="74"/>
      <c r="I125" s="73"/>
    </row>
    <row r="126" spans="1:9" ht="13.5">
      <c r="A126" s="94"/>
      <c r="B126" s="49">
        <v>41229</v>
      </c>
      <c r="C126" s="58">
        <f t="shared" si="6"/>
        <v>0</v>
      </c>
      <c r="D126" s="60">
        <v>-80</v>
      </c>
      <c r="E126" s="83">
        <f t="shared" si="7"/>
        <v>0</v>
      </c>
      <c r="F126" s="48"/>
      <c r="G126" s="48"/>
      <c r="H126" s="74"/>
      <c r="I126" s="73"/>
    </row>
    <row r="127" spans="1:9" ht="13.5">
      <c r="A127" s="94"/>
      <c r="B127" s="49">
        <v>41409</v>
      </c>
      <c r="C127" s="58">
        <f t="shared" si="6"/>
        <v>2.956301</v>
      </c>
      <c r="D127" s="60">
        <v>44</v>
      </c>
      <c r="E127" s="83">
        <f t="shared" si="7"/>
        <v>2.92637626611828</v>
      </c>
      <c r="F127" s="48"/>
      <c r="G127" s="48"/>
      <c r="H127" s="74"/>
      <c r="I127" s="73"/>
    </row>
    <row r="128" spans="1:9" ht="13.5">
      <c r="A128" s="94"/>
      <c r="B128" s="49">
        <v>41596</v>
      </c>
      <c r="C128" s="58">
        <f t="shared" si="6"/>
        <v>2.956301</v>
      </c>
      <c r="D128" s="60">
        <v>175</v>
      </c>
      <c r="E128" s="83">
        <f t="shared" si="7"/>
        <v>2.8390636728792225</v>
      </c>
      <c r="F128" s="48"/>
      <c r="G128" s="48"/>
      <c r="H128" s="74"/>
      <c r="I128" s="73"/>
    </row>
    <row r="129" spans="1:9" ht="13.5">
      <c r="A129" s="94"/>
      <c r="B129" s="49">
        <v>41774</v>
      </c>
      <c r="C129" s="58">
        <f t="shared" si="6"/>
        <v>2.956301</v>
      </c>
      <c r="D129" s="60">
        <v>296</v>
      </c>
      <c r="E129" s="83">
        <f t="shared" si="7"/>
        <v>2.7607323265266794</v>
      </c>
      <c r="F129" s="48"/>
      <c r="G129" s="48"/>
      <c r="H129" s="74"/>
      <c r="I129" s="73"/>
    </row>
    <row r="130" spans="1:9" ht="13.5">
      <c r="A130" s="94"/>
      <c r="B130" s="49">
        <v>41960</v>
      </c>
      <c r="C130" s="58">
        <f t="shared" si="6"/>
        <v>2.956301</v>
      </c>
      <c r="D130" s="60">
        <v>427</v>
      </c>
      <c r="E130" s="83">
        <f t="shared" si="7"/>
        <v>2.6783619555464364</v>
      </c>
      <c r="F130" s="48"/>
      <c r="G130" s="48"/>
      <c r="H130" s="74"/>
      <c r="I130" s="73"/>
    </row>
    <row r="131" spans="1:9" ht="13.5">
      <c r="A131" s="94"/>
      <c r="B131" s="49">
        <v>42139</v>
      </c>
      <c r="C131" s="58">
        <f t="shared" si="6"/>
        <v>2.956301</v>
      </c>
      <c r="D131" s="60">
        <v>549</v>
      </c>
      <c r="E131" s="83">
        <f t="shared" si="7"/>
        <v>2.603862309160884</v>
      </c>
      <c r="F131" s="48"/>
      <c r="G131" s="48"/>
      <c r="H131" s="74"/>
      <c r="I131" s="81"/>
    </row>
    <row r="132" spans="1:9" ht="13.5">
      <c r="A132" s="94"/>
      <c r="B132" s="49">
        <v>42324</v>
      </c>
      <c r="C132" s="58">
        <f t="shared" si="6"/>
        <v>2.956301</v>
      </c>
      <c r="D132" s="60">
        <v>676</v>
      </c>
      <c r="E132" s="83">
        <f t="shared" si="7"/>
        <v>2.528509924018372</v>
      </c>
      <c r="F132" s="48"/>
      <c r="G132" s="48"/>
      <c r="H132" s="74"/>
      <c r="I132" s="73"/>
    </row>
    <row r="133" spans="1:9" ht="13.5">
      <c r="A133" s="94"/>
      <c r="B133" s="49">
        <v>42506</v>
      </c>
      <c r="C133" s="58">
        <f t="shared" si="6"/>
        <v>2.956301</v>
      </c>
      <c r="D133" s="60">
        <v>800</v>
      </c>
      <c r="E133" s="83">
        <f t="shared" si="7"/>
        <v>2.457041942440975</v>
      </c>
      <c r="F133" s="48"/>
      <c r="G133" s="48"/>
      <c r="H133" s="74"/>
      <c r="I133" s="73"/>
    </row>
    <row r="134" spans="1:9" ht="13.5">
      <c r="A134" s="94"/>
      <c r="B134" s="49">
        <v>42690</v>
      </c>
      <c r="C134" s="58">
        <f t="shared" si="6"/>
        <v>2.956301</v>
      </c>
      <c r="D134" s="60">
        <v>927</v>
      </c>
      <c r="E134" s="83">
        <f t="shared" si="7"/>
        <v>2.3859383475593456</v>
      </c>
      <c r="F134" s="48"/>
      <c r="G134" s="48"/>
      <c r="H134" s="74"/>
      <c r="I134" s="73"/>
    </row>
    <row r="135" spans="1:9" ht="13.5">
      <c r="A135" s="94"/>
      <c r="B135" s="49">
        <v>42870</v>
      </c>
      <c r="C135" s="58">
        <f t="shared" si="6"/>
        <v>2.956301</v>
      </c>
      <c r="D135" s="60">
        <v>1050</v>
      </c>
      <c r="E135" s="83">
        <f t="shared" si="7"/>
        <v>2.319036290867569</v>
      </c>
      <c r="F135" s="48"/>
      <c r="G135" s="48"/>
      <c r="H135" s="74"/>
      <c r="I135" s="73"/>
    </row>
    <row r="136" spans="1:9" ht="13.5">
      <c r="A136" s="94"/>
      <c r="B136" s="49">
        <v>43055</v>
      </c>
      <c r="C136" s="58">
        <f t="shared" si="6"/>
        <v>2.956301</v>
      </c>
      <c r="D136" s="60">
        <v>1178</v>
      </c>
      <c r="E136" s="83">
        <f t="shared" si="7"/>
        <v>2.251405756520518</v>
      </c>
      <c r="F136" s="48"/>
      <c r="G136" s="48"/>
      <c r="H136" s="74"/>
      <c r="I136" s="73"/>
    </row>
    <row r="137" spans="1:9" ht="13.5">
      <c r="A137" s="94"/>
      <c r="B137" s="49">
        <v>43235</v>
      </c>
      <c r="C137" s="58">
        <f t="shared" si="6"/>
        <v>2.956301</v>
      </c>
      <c r="D137" s="60">
        <v>1300</v>
      </c>
      <c r="E137" s="83">
        <f t="shared" si="7"/>
        <v>2.1887820575899695</v>
      </c>
      <c r="F137" s="48"/>
      <c r="G137" s="48"/>
      <c r="H137" s="74"/>
      <c r="I137" s="73"/>
    </row>
    <row r="138" spans="1:9" ht="13.5">
      <c r="A138" s="94"/>
      <c r="B138" s="49">
        <v>43420</v>
      </c>
      <c r="C138" s="58">
        <f t="shared" si="6"/>
        <v>2.956301</v>
      </c>
      <c r="D138" s="60">
        <v>1428</v>
      </c>
      <c r="E138" s="83">
        <f t="shared" si="7"/>
        <v>2.124950154351979</v>
      </c>
      <c r="F138" s="48"/>
      <c r="G138" s="48"/>
      <c r="H138" s="74"/>
      <c r="I138" s="73"/>
    </row>
    <row r="139" spans="1:9" ht="13.5">
      <c r="A139" s="94"/>
      <c r="B139" s="49">
        <v>43600</v>
      </c>
      <c r="C139" s="58">
        <f t="shared" si="6"/>
        <v>2.956301</v>
      </c>
      <c r="D139" s="60">
        <v>1550</v>
      </c>
      <c r="E139" s="83">
        <f t="shared" si="7"/>
        <v>2.0658438656151943</v>
      </c>
      <c r="F139" s="48"/>
      <c r="G139" s="48"/>
      <c r="H139" s="74"/>
      <c r="I139" s="73"/>
    </row>
    <row r="140" spans="1:9" ht="13.5">
      <c r="A140" s="94"/>
      <c r="B140" s="49">
        <v>43787</v>
      </c>
      <c r="C140" s="58">
        <f t="shared" si="6"/>
        <v>2.956301</v>
      </c>
      <c r="D140" s="60">
        <v>1681</v>
      </c>
      <c r="E140" s="83">
        <f t="shared" si="7"/>
        <v>2.004206479055495</v>
      </c>
      <c r="F140" s="48"/>
      <c r="G140" s="48"/>
      <c r="H140" s="74"/>
      <c r="I140" s="73"/>
    </row>
    <row r="141" spans="1:9" ht="13.5">
      <c r="A141" s="94"/>
      <c r="B141" s="49">
        <v>43966</v>
      </c>
      <c r="C141" s="58">
        <f t="shared" si="6"/>
        <v>2.956301</v>
      </c>
      <c r="D141" s="60">
        <v>1803</v>
      </c>
      <c r="E141" s="83">
        <f t="shared" si="7"/>
        <v>1.9484587211155848</v>
      </c>
      <c r="F141" s="48"/>
      <c r="G141" s="48"/>
      <c r="H141" s="74"/>
      <c r="I141" s="73"/>
    </row>
    <row r="142" spans="1:9" ht="13.5">
      <c r="A142" s="94"/>
      <c r="B142" s="49">
        <v>44151</v>
      </c>
      <c r="C142" s="58">
        <f t="shared" si="6"/>
        <v>2.956301</v>
      </c>
      <c r="D142" s="60">
        <v>1930</v>
      </c>
      <c r="E142" s="83">
        <f t="shared" si="7"/>
        <v>1.8920728625119085</v>
      </c>
      <c r="F142" s="48"/>
      <c r="G142" s="48"/>
      <c r="H142" s="74"/>
      <c r="I142" s="73"/>
    </row>
    <row r="143" spans="1:9" ht="13.5">
      <c r="A143" s="94"/>
      <c r="B143" s="49">
        <v>44333</v>
      </c>
      <c r="C143" s="58">
        <f t="shared" si="6"/>
        <v>2.956301</v>
      </c>
      <c r="D143" s="60">
        <v>2054</v>
      </c>
      <c r="E143" s="83">
        <f t="shared" si="7"/>
        <v>1.838593686022779</v>
      </c>
      <c r="F143" s="48"/>
      <c r="G143" s="48"/>
      <c r="H143" s="74"/>
      <c r="I143" s="73"/>
    </row>
    <row r="144" spans="1:9" ht="13.5">
      <c r="A144" s="94"/>
      <c r="B144" s="49">
        <v>44516</v>
      </c>
      <c r="C144" s="58">
        <f t="shared" si="6"/>
        <v>2.956301</v>
      </c>
      <c r="D144" s="60">
        <v>2180</v>
      </c>
      <c r="E144" s="83">
        <f t="shared" si="7"/>
        <v>1.7858000538532557</v>
      </c>
      <c r="F144" s="48"/>
      <c r="G144" s="48"/>
      <c r="H144" s="74"/>
      <c r="I144" s="73"/>
    </row>
    <row r="145" spans="1:9" ht="13.5">
      <c r="A145" s="94"/>
      <c r="B145" s="49">
        <v>44697</v>
      </c>
      <c r="C145" s="58">
        <f t="shared" si="6"/>
        <v>2.956301</v>
      </c>
      <c r="D145" s="60">
        <v>2305</v>
      </c>
      <c r="E145" s="83">
        <f t="shared" si="7"/>
        <v>1.7349234580383481</v>
      </c>
      <c r="F145" s="48"/>
      <c r="G145" s="48"/>
      <c r="H145" s="74"/>
      <c r="I145" s="73"/>
    </row>
    <row r="146" spans="1:9" ht="13.5">
      <c r="A146" s="94"/>
      <c r="B146" s="49">
        <v>44881</v>
      </c>
      <c r="C146" s="58">
        <f t="shared" si="6"/>
        <v>2.956301</v>
      </c>
      <c r="D146" s="60">
        <v>2432</v>
      </c>
      <c r="E146" s="83">
        <f t="shared" si="7"/>
        <v>1.6847170319370335</v>
      </c>
      <c r="F146" s="48"/>
      <c r="G146" s="48"/>
      <c r="H146" s="74"/>
      <c r="I146" s="73"/>
    </row>
    <row r="147" spans="1:9" ht="13.5">
      <c r="A147" s="94"/>
      <c r="B147" s="49">
        <v>45061</v>
      </c>
      <c r="C147" s="58">
        <f t="shared" si="6"/>
        <v>2.956301</v>
      </c>
      <c r="D147" s="60">
        <v>2555</v>
      </c>
      <c r="E147" s="83">
        <f t="shared" si="7"/>
        <v>1.6374773224552068</v>
      </c>
      <c r="F147" s="48"/>
      <c r="G147" s="48"/>
      <c r="H147" s="74"/>
      <c r="I147" s="73"/>
    </row>
    <row r="148" spans="1:9" ht="13.5">
      <c r="A148" s="94"/>
      <c r="B148" s="49">
        <v>45246</v>
      </c>
      <c r="C148" s="58">
        <f t="shared" si="6"/>
        <v>2.956301</v>
      </c>
      <c r="D148" s="60">
        <v>2683</v>
      </c>
      <c r="E148" s="83">
        <f t="shared" si="7"/>
        <v>1.5897232330798337</v>
      </c>
      <c r="F148" s="48"/>
      <c r="G148" s="48"/>
      <c r="H148" s="74"/>
      <c r="I148" s="73"/>
    </row>
    <row r="149" spans="1:9" ht="13.5">
      <c r="A149" s="94"/>
      <c r="B149" s="49">
        <v>45427</v>
      </c>
      <c r="C149" s="58">
        <f t="shared" si="6"/>
        <v>2.956301</v>
      </c>
      <c r="D149" s="60">
        <v>2806</v>
      </c>
      <c r="E149" s="83">
        <f t="shared" si="7"/>
        <v>1.5451471634707692</v>
      </c>
      <c r="F149" s="48"/>
      <c r="G149" s="48"/>
      <c r="H149" s="74"/>
      <c r="I149" s="73"/>
    </row>
    <row r="150" spans="1:9" ht="13.5">
      <c r="A150" s="94"/>
      <c r="B150" s="49">
        <v>45614</v>
      </c>
      <c r="C150" s="58">
        <f t="shared" si="6"/>
        <v>2.956301</v>
      </c>
      <c r="D150" s="60">
        <v>2937</v>
      </c>
      <c r="E150" s="83">
        <f t="shared" si="7"/>
        <v>1.4990455027442897</v>
      </c>
      <c r="F150" s="48"/>
      <c r="G150" s="48"/>
      <c r="H150" s="74"/>
      <c r="I150" s="73"/>
    </row>
    <row r="151" spans="1:9" ht="13.5">
      <c r="A151" s="94"/>
      <c r="B151" s="49">
        <v>45792</v>
      </c>
      <c r="C151" s="58">
        <f t="shared" si="6"/>
        <v>2.956301</v>
      </c>
      <c r="D151" s="60">
        <v>3058</v>
      </c>
      <c r="E151" s="83">
        <f t="shared" si="7"/>
        <v>1.4576860032743106</v>
      </c>
      <c r="F151" s="48"/>
      <c r="G151" s="48"/>
      <c r="H151" s="74"/>
      <c r="I151" s="73"/>
    </row>
    <row r="152" spans="1:9" ht="13.5">
      <c r="A152" s="94"/>
      <c r="B152" s="49">
        <v>45978</v>
      </c>
      <c r="C152" s="58">
        <f t="shared" si="6"/>
        <v>2.956301</v>
      </c>
      <c r="D152" s="60">
        <v>3189</v>
      </c>
      <c r="E152" s="83">
        <f t="shared" si="7"/>
        <v>1.4141938705134809</v>
      </c>
      <c r="F152" s="48"/>
      <c r="G152" s="48"/>
      <c r="H152" s="74"/>
      <c r="I152" s="73"/>
    </row>
    <row r="153" spans="1:9" ht="13.5">
      <c r="A153" s="94"/>
      <c r="B153" s="49">
        <v>46157</v>
      </c>
      <c r="C153" s="58">
        <f t="shared" si="6"/>
        <v>2.956301</v>
      </c>
      <c r="D153" s="60">
        <v>3311</v>
      </c>
      <c r="E153" s="83">
        <f t="shared" si="7"/>
        <v>1.3748575354614938</v>
      </c>
      <c r="F153" s="48"/>
      <c r="G153" s="48"/>
      <c r="H153" s="74"/>
      <c r="I153" s="73"/>
    </row>
    <row r="154" spans="1:9" ht="13.5">
      <c r="A154" s="94"/>
      <c r="B154" s="49">
        <v>46342</v>
      </c>
      <c r="C154" s="58">
        <f t="shared" si="6"/>
        <v>2.956301</v>
      </c>
      <c r="D154" s="60">
        <v>3438</v>
      </c>
      <c r="E154" s="83">
        <f t="shared" si="7"/>
        <v>1.3350709483736516</v>
      </c>
      <c r="F154" s="48"/>
      <c r="G154" s="48"/>
      <c r="H154" s="74"/>
      <c r="I154" s="73"/>
    </row>
    <row r="155" spans="1:9" ht="13.5">
      <c r="A155" s="94"/>
      <c r="B155" s="49">
        <v>46524</v>
      </c>
      <c r="C155" s="58">
        <f t="shared" si="6"/>
        <v>2.956301</v>
      </c>
      <c r="D155" s="60">
        <v>3562</v>
      </c>
      <c r="E155" s="83">
        <f t="shared" si="7"/>
        <v>1.297335353572722</v>
      </c>
      <c r="F155" s="48"/>
      <c r="G155" s="48"/>
      <c r="H155" s="74"/>
      <c r="I155" s="73"/>
    </row>
    <row r="156" spans="1:9" ht="13.5">
      <c r="A156" s="94"/>
      <c r="B156" s="49">
        <v>46707</v>
      </c>
      <c r="C156" s="58">
        <f t="shared" si="6"/>
        <v>2.956301</v>
      </c>
      <c r="D156" s="60">
        <v>3688</v>
      </c>
      <c r="E156" s="83">
        <f t="shared" si="7"/>
        <v>1.2600834876614475</v>
      </c>
      <c r="F156" s="48"/>
      <c r="G156" s="48"/>
      <c r="H156" s="74"/>
      <c r="I156" s="73"/>
    </row>
    <row r="157" spans="1:9" ht="13.5">
      <c r="A157" s="94"/>
      <c r="B157" s="49">
        <v>46888</v>
      </c>
      <c r="C157" s="58">
        <f t="shared" si="6"/>
        <v>2.956301</v>
      </c>
      <c r="D157" s="60">
        <v>3812</v>
      </c>
      <c r="E157" s="83">
        <f t="shared" si="7"/>
        <v>1.2244674030154152</v>
      </c>
      <c r="F157" s="48"/>
      <c r="G157" s="48"/>
      <c r="H157" s="74"/>
      <c r="I157" s="73"/>
    </row>
    <row r="158" spans="1:9" ht="13.5">
      <c r="A158" s="94"/>
      <c r="B158" s="49">
        <v>47073</v>
      </c>
      <c r="C158" s="58">
        <f t="shared" si="6"/>
        <v>2.956301</v>
      </c>
      <c r="D158" s="60">
        <v>3940</v>
      </c>
      <c r="E158" s="83">
        <f t="shared" si="7"/>
        <v>1.1887580072277806</v>
      </c>
      <c r="F158" s="48"/>
      <c r="G158" s="48"/>
      <c r="H158" s="74"/>
      <c r="I158" s="73"/>
    </row>
    <row r="159" spans="1:9" ht="13.5">
      <c r="A159" s="94"/>
      <c r="B159" s="49">
        <v>47253</v>
      </c>
      <c r="C159" s="58">
        <f t="shared" si="6"/>
        <v>2.956301</v>
      </c>
      <c r="D159" s="60">
        <v>4062</v>
      </c>
      <c r="E159" s="83">
        <f t="shared" si="7"/>
        <v>1.1556922556055749</v>
      </c>
      <c r="F159" s="48"/>
      <c r="G159" s="48"/>
      <c r="H159" s="74"/>
      <c r="I159" s="73"/>
    </row>
    <row r="160" spans="1:9" ht="13.5">
      <c r="A160" s="94"/>
      <c r="B160" s="49">
        <v>47438</v>
      </c>
      <c r="C160" s="58">
        <f t="shared" si="6"/>
        <v>2.956301</v>
      </c>
      <c r="D160" s="60">
        <v>4190</v>
      </c>
      <c r="E160" s="83">
        <f t="shared" si="7"/>
        <v>1.1219885636473463</v>
      </c>
      <c r="F160" s="48"/>
      <c r="G160" s="48"/>
      <c r="H160" s="74"/>
      <c r="I160" s="73"/>
    </row>
    <row r="161" spans="1:9" ht="13.5">
      <c r="A161" s="94"/>
      <c r="B161" s="49">
        <v>47618</v>
      </c>
      <c r="C161" s="58">
        <f t="shared" si="6"/>
        <v>2.956301</v>
      </c>
      <c r="D161" s="60">
        <v>4312</v>
      </c>
      <c r="E161" s="83">
        <f t="shared" si="7"/>
        <v>1.0907800292417313</v>
      </c>
      <c r="F161" s="48"/>
      <c r="G161" s="48"/>
      <c r="H161" s="74"/>
      <c r="I161" s="73"/>
    </row>
    <row r="162" spans="1:9" ht="13.5">
      <c r="A162" s="94"/>
      <c r="B162" s="49">
        <v>47805</v>
      </c>
      <c r="C162" s="58">
        <f t="shared" si="6"/>
        <v>2.956301</v>
      </c>
      <c r="D162" s="60">
        <v>4443</v>
      </c>
      <c r="E162" s="83">
        <f t="shared" si="7"/>
        <v>1.0582350574590014</v>
      </c>
      <c r="F162" s="48"/>
      <c r="G162" s="48"/>
      <c r="H162" s="74"/>
      <c r="I162" s="73"/>
    </row>
    <row r="163" spans="1:9" ht="13.5">
      <c r="A163" s="94"/>
      <c r="B163" s="49">
        <v>47983</v>
      </c>
      <c r="C163" s="58">
        <f t="shared" si="6"/>
        <v>2.956301</v>
      </c>
      <c r="D163" s="60">
        <v>4564</v>
      </c>
      <c r="E163" s="83">
        <f t="shared" si="7"/>
        <v>1.0290377634355956</v>
      </c>
      <c r="F163" s="48"/>
      <c r="G163" s="48"/>
      <c r="H163" s="74"/>
      <c r="I163" s="73"/>
    </row>
    <row r="164" spans="1:9" ht="13.5">
      <c r="A164" s="94"/>
      <c r="B164" s="49">
        <v>48169</v>
      </c>
      <c r="C164" s="58">
        <f t="shared" si="6"/>
        <v>2.956301</v>
      </c>
      <c r="D164" s="60">
        <v>4695</v>
      </c>
      <c r="E164" s="83">
        <f t="shared" si="7"/>
        <v>0.9983349598669825</v>
      </c>
      <c r="F164" s="48"/>
      <c r="G164" s="48"/>
      <c r="H164" s="74"/>
      <c r="I164" s="73"/>
    </row>
    <row r="165" spans="1:9" ht="13.5">
      <c r="A165" s="94"/>
      <c r="B165" s="49">
        <v>48351</v>
      </c>
      <c r="C165" s="58">
        <f t="shared" si="6"/>
        <v>2.956301</v>
      </c>
      <c r="D165" s="60">
        <v>4819</v>
      </c>
      <c r="E165" s="83">
        <f t="shared" si="7"/>
        <v>0.9701171609799383</v>
      </c>
      <c r="F165" s="48"/>
      <c r="G165" s="48"/>
      <c r="H165" s="74"/>
      <c r="I165" s="73"/>
    </row>
    <row r="166" spans="1:9" ht="13.5">
      <c r="A166" s="94"/>
      <c r="B166" s="49">
        <v>48534</v>
      </c>
      <c r="C166" s="58">
        <f t="shared" si="6"/>
        <v>2.956301</v>
      </c>
      <c r="D166" s="60">
        <v>4945</v>
      </c>
      <c r="E166" s="83">
        <f t="shared" si="7"/>
        <v>0.9422610832899802</v>
      </c>
      <c r="F166" s="48"/>
      <c r="G166" s="48"/>
      <c r="H166" s="74"/>
      <c r="I166" s="73"/>
    </row>
    <row r="167" spans="1:9" ht="13.5">
      <c r="A167" s="94"/>
      <c r="B167" s="49">
        <v>48715</v>
      </c>
      <c r="C167" s="58">
        <f t="shared" si="6"/>
        <v>2.956301</v>
      </c>
      <c r="D167" s="60">
        <v>5070</v>
      </c>
      <c r="E167" s="83">
        <f t="shared" si="7"/>
        <v>0.9154165123184305</v>
      </c>
      <c r="F167" s="48"/>
      <c r="G167" s="48"/>
      <c r="H167" s="74"/>
      <c r="I167" s="73"/>
    </row>
    <row r="168" spans="1:9" ht="13.5">
      <c r="A168" s="94"/>
      <c r="B168" s="49">
        <v>48899</v>
      </c>
      <c r="C168" s="58">
        <f t="shared" si="6"/>
        <v>2.956301</v>
      </c>
      <c r="D168" s="60">
        <v>5197</v>
      </c>
      <c r="E168" s="83">
        <f t="shared" si="7"/>
        <v>0.8889255502735662</v>
      </c>
      <c r="F168" s="48"/>
      <c r="G168" s="48"/>
      <c r="H168" s="77"/>
      <c r="I168" s="73"/>
    </row>
    <row r="169" spans="1:9" ht="13.5">
      <c r="A169" s="94"/>
      <c r="B169" s="49">
        <v>49079</v>
      </c>
      <c r="C169" s="58">
        <f t="shared" si="6"/>
        <v>2.956301</v>
      </c>
      <c r="D169" s="60">
        <v>5320</v>
      </c>
      <c r="E169" s="83">
        <f t="shared" si="7"/>
        <v>0.8639999491489581</v>
      </c>
      <c r="F169" s="48"/>
      <c r="G169" s="48"/>
      <c r="H169" s="77"/>
      <c r="I169" s="73"/>
    </row>
    <row r="170" spans="1:9" ht="13.5">
      <c r="A170" s="94"/>
      <c r="B170" s="49">
        <v>49264</v>
      </c>
      <c r="C170" s="58">
        <f t="shared" si="6"/>
        <v>2.956301</v>
      </c>
      <c r="D170" s="60">
        <v>5448</v>
      </c>
      <c r="E170" s="83">
        <f t="shared" si="7"/>
        <v>0.8388029401729111</v>
      </c>
      <c r="F170" s="48"/>
      <c r="G170" s="48"/>
      <c r="H170" s="77"/>
      <c r="I170" s="73"/>
    </row>
    <row r="171" spans="1:9" ht="13.5">
      <c r="A171" s="94"/>
      <c r="B171" s="49">
        <v>49444</v>
      </c>
      <c r="C171" s="58">
        <f>IF(D171&gt;0,102.956301,0)</f>
        <v>102.956301</v>
      </c>
      <c r="D171" s="60">
        <v>5570</v>
      </c>
      <c r="E171" s="83">
        <f t="shared" si="7"/>
        <v>28.39964899808692</v>
      </c>
      <c r="F171" s="48"/>
      <c r="G171" s="48"/>
      <c r="H171" s="77"/>
      <c r="I171" s="73"/>
    </row>
    <row r="172" spans="1:9" ht="13.5">
      <c r="A172" s="94"/>
      <c r="B172" s="49"/>
      <c r="C172" s="48"/>
      <c r="D172" s="48"/>
      <c r="E172" s="48"/>
      <c r="F172" s="48"/>
      <c r="G172" s="48"/>
      <c r="H172" s="77"/>
      <c r="I172" s="73"/>
    </row>
    <row r="173" spans="1:9" ht="13.5">
      <c r="A173" s="94"/>
      <c r="B173" s="49"/>
      <c r="C173" s="48"/>
      <c r="D173" s="48"/>
      <c r="E173" s="83"/>
      <c r="F173" s="48"/>
      <c r="G173" s="48"/>
      <c r="H173" s="77"/>
      <c r="I173" s="73"/>
    </row>
    <row r="174" spans="1:9" ht="14.25" thickBot="1">
      <c r="A174" s="95"/>
      <c r="B174" s="85"/>
      <c r="C174" s="86"/>
      <c r="D174" s="87" t="s">
        <v>62</v>
      </c>
      <c r="E174" s="87">
        <f>SUM(E124:E173)</f>
        <v>102.11576381610715</v>
      </c>
      <c r="F174" s="86"/>
      <c r="G174" s="86"/>
      <c r="H174" s="88"/>
      <c r="I174" s="73"/>
    </row>
    <row r="175" spans="1:9" ht="13.5">
      <c r="A175" s="66"/>
      <c r="B175" s="67"/>
      <c r="C175" s="68" t="s">
        <v>59</v>
      </c>
      <c r="D175" s="69"/>
      <c r="E175" s="70">
        <v>186.634</v>
      </c>
      <c r="F175" s="71"/>
      <c r="G175" s="71"/>
      <c r="H175" s="72"/>
      <c r="I175" s="73"/>
    </row>
    <row r="176" spans="1:9" ht="13.5">
      <c r="A176" s="75"/>
      <c r="B176" s="49"/>
      <c r="C176" s="76">
        <v>53097</v>
      </c>
      <c r="D176" s="48"/>
      <c r="E176" s="52"/>
      <c r="F176" s="48"/>
      <c r="G176" s="48"/>
      <c r="H176" s="77"/>
      <c r="I176" s="73"/>
    </row>
    <row r="177" spans="1:9" ht="13.5">
      <c r="A177" s="75"/>
      <c r="B177" s="49"/>
      <c r="C177" s="58"/>
      <c r="D177" s="78"/>
      <c r="E177" s="48"/>
      <c r="F177" s="48"/>
      <c r="G177" s="48"/>
      <c r="H177" s="77"/>
      <c r="I177" s="73"/>
    </row>
    <row r="178" spans="1:9" ht="13.5">
      <c r="A178" s="75"/>
      <c r="B178" s="49"/>
      <c r="C178" s="48"/>
      <c r="D178" s="48"/>
      <c r="E178" s="48"/>
      <c r="F178" s="48"/>
      <c r="G178" s="48"/>
      <c r="H178" s="77"/>
      <c r="I178" s="73"/>
    </row>
    <row r="179" spans="1:9" ht="13.5">
      <c r="A179" s="75"/>
      <c r="B179" s="49"/>
      <c r="C179" s="65"/>
      <c r="D179" s="48"/>
      <c r="E179" s="48"/>
      <c r="F179" s="48"/>
      <c r="G179" s="54"/>
      <c r="H179" s="79" t="s">
        <v>60</v>
      </c>
      <c r="I179" s="73"/>
    </row>
    <row r="180" spans="1:9" ht="13.5">
      <c r="A180" s="75"/>
      <c r="B180" s="48"/>
      <c r="C180" s="54" t="s">
        <v>61</v>
      </c>
      <c r="D180" s="55"/>
      <c r="E180" s="55"/>
      <c r="F180" s="48"/>
      <c r="H180" s="80"/>
      <c r="I180" s="73"/>
    </row>
    <row r="181" spans="1:9" ht="13.5">
      <c r="A181" s="75"/>
      <c r="B181" s="49"/>
      <c r="C181" s="54"/>
      <c r="D181" s="55" t="s">
        <v>63</v>
      </c>
      <c r="E181" s="55" t="s">
        <v>64</v>
      </c>
      <c r="F181" s="48"/>
      <c r="I181" s="73"/>
    </row>
    <row r="182" spans="1:9" ht="13.5">
      <c r="A182" s="75"/>
      <c r="B182" s="49"/>
      <c r="C182" s="58"/>
      <c r="D182" s="55"/>
      <c r="E182" s="54"/>
      <c r="F182" s="48"/>
      <c r="I182" s="73"/>
    </row>
    <row r="183" spans="1:9" ht="13.5">
      <c r="A183" s="75"/>
      <c r="B183" s="49">
        <f ca="1">TODAY()</f>
        <v>41413</v>
      </c>
      <c r="C183" s="48"/>
      <c r="D183" s="55"/>
      <c r="E183" s="54"/>
      <c r="F183" s="48"/>
      <c r="I183" s="73"/>
    </row>
    <row r="184" spans="1:9" ht="13.5">
      <c r="A184" s="94"/>
      <c r="B184" s="49">
        <v>40863</v>
      </c>
      <c r="C184" s="58">
        <f aca="true" t="shared" si="8" ref="C184:C246">IF(D184&gt;0,2.956301,0)</f>
        <v>0</v>
      </c>
      <c r="D184" s="60">
        <v>-333</v>
      </c>
      <c r="E184" s="83">
        <f aca="true" t="shared" si="9" ref="E184:E246">IF(D184&gt;0,C184/(1+$H$81/100)^(D184/252),0)</f>
        <v>0</v>
      </c>
      <c r="F184" s="48"/>
      <c r="I184" s="73"/>
    </row>
    <row r="185" spans="1:9" ht="13.5">
      <c r="A185" s="94"/>
      <c r="B185" s="49">
        <v>41044</v>
      </c>
      <c r="C185" s="58">
        <f t="shared" si="8"/>
        <v>0</v>
      </c>
      <c r="D185" s="60">
        <v>-208</v>
      </c>
      <c r="E185" s="83">
        <f t="shared" si="9"/>
        <v>0</v>
      </c>
      <c r="F185" s="48"/>
      <c r="I185" s="73"/>
    </row>
    <row r="186" spans="1:9" ht="13.5">
      <c r="A186" s="94"/>
      <c r="B186" s="49">
        <v>41229</v>
      </c>
      <c r="C186" s="58">
        <f t="shared" si="8"/>
        <v>0</v>
      </c>
      <c r="D186" s="60">
        <v>-80</v>
      </c>
      <c r="E186" s="83">
        <f t="shared" si="9"/>
        <v>0</v>
      </c>
      <c r="F186" s="48"/>
      <c r="I186" s="73"/>
    </row>
    <row r="187" spans="1:9" ht="13.5">
      <c r="A187" s="94"/>
      <c r="B187" s="49">
        <v>41409</v>
      </c>
      <c r="C187" s="58">
        <f t="shared" si="8"/>
        <v>2.956301</v>
      </c>
      <c r="D187" s="60">
        <v>44</v>
      </c>
      <c r="E187" s="83">
        <f t="shared" si="9"/>
        <v>2.92637626611828</v>
      </c>
      <c r="F187" s="48"/>
      <c r="I187" s="73"/>
    </row>
    <row r="188" spans="1:9" ht="13.5">
      <c r="A188" s="94"/>
      <c r="B188" s="49">
        <v>41596</v>
      </c>
      <c r="C188" s="58">
        <f t="shared" si="8"/>
        <v>2.956301</v>
      </c>
      <c r="D188" s="60">
        <v>175</v>
      </c>
      <c r="E188" s="83">
        <f t="shared" si="9"/>
        <v>2.8390636728792225</v>
      </c>
      <c r="F188" s="48"/>
      <c r="I188" s="73"/>
    </row>
    <row r="189" spans="1:9" ht="13.5">
      <c r="A189" s="94"/>
      <c r="B189" s="49">
        <v>41774</v>
      </c>
      <c r="C189" s="58">
        <f t="shared" si="8"/>
        <v>2.956301</v>
      </c>
      <c r="D189" s="60">
        <v>296</v>
      </c>
      <c r="E189" s="83">
        <f t="shared" si="9"/>
        <v>2.7607323265266794</v>
      </c>
      <c r="F189" s="48"/>
      <c r="I189" s="73"/>
    </row>
    <row r="190" spans="1:9" ht="13.5">
      <c r="A190" s="94"/>
      <c r="B190" s="49">
        <v>41960</v>
      </c>
      <c r="C190" s="58">
        <f t="shared" si="8"/>
        <v>2.956301</v>
      </c>
      <c r="D190" s="60">
        <v>427</v>
      </c>
      <c r="E190" s="83">
        <f t="shared" si="9"/>
        <v>2.6783619555464364</v>
      </c>
      <c r="F190" s="48"/>
      <c r="I190" s="73"/>
    </row>
    <row r="191" spans="1:9" ht="13.5">
      <c r="A191" s="94"/>
      <c r="B191" s="49">
        <v>42139</v>
      </c>
      <c r="C191" s="58">
        <f t="shared" si="8"/>
        <v>2.956301</v>
      </c>
      <c r="D191" s="60">
        <v>549</v>
      </c>
      <c r="E191" s="83">
        <f t="shared" si="9"/>
        <v>2.603862309160884</v>
      </c>
      <c r="F191" s="48"/>
      <c r="I191" s="81"/>
    </row>
    <row r="192" spans="1:6" ht="12.75">
      <c r="A192" s="94"/>
      <c r="B192" s="49">
        <v>42324</v>
      </c>
      <c r="C192" s="58">
        <f t="shared" si="8"/>
        <v>2.956301</v>
      </c>
      <c r="D192" s="60">
        <v>676</v>
      </c>
      <c r="E192" s="83">
        <f t="shared" si="9"/>
        <v>2.528509924018372</v>
      </c>
      <c r="F192" s="48"/>
    </row>
    <row r="193" spans="1:6" ht="12.75">
      <c r="A193" s="94"/>
      <c r="B193" s="49">
        <v>42506</v>
      </c>
      <c r="C193" s="58">
        <f t="shared" si="8"/>
        <v>2.956301</v>
      </c>
      <c r="D193" s="60">
        <v>800</v>
      </c>
      <c r="E193" s="83">
        <f t="shared" si="9"/>
        <v>2.457041942440975</v>
      </c>
      <c r="F193" s="48"/>
    </row>
    <row r="194" spans="1:6" ht="12.75">
      <c r="A194" s="94"/>
      <c r="B194" s="49">
        <v>42690</v>
      </c>
      <c r="C194" s="58">
        <f t="shared" si="8"/>
        <v>2.956301</v>
      </c>
      <c r="D194" s="60">
        <v>927</v>
      </c>
      <c r="E194" s="83">
        <f t="shared" si="9"/>
        <v>2.3859383475593456</v>
      </c>
      <c r="F194" s="48"/>
    </row>
    <row r="195" spans="1:6" ht="12.75">
      <c r="A195" s="94"/>
      <c r="B195" s="49">
        <v>42870</v>
      </c>
      <c r="C195" s="58">
        <f t="shared" si="8"/>
        <v>2.956301</v>
      </c>
      <c r="D195" s="60">
        <v>1050</v>
      </c>
      <c r="E195" s="83">
        <f t="shared" si="9"/>
        <v>2.319036290867569</v>
      </c>
      <c r="F195" s="48"/>
    </row>
    <row r="196" spans="1:6" ht="12.75">
      <c r="A196" s="94"/>
      <c r="B196" s="49">
        <v>43055</v>
      </c>
      <c r="C196" s="58">
        <f t="shared" si="8"/>
        <v>2.956301</v>
      </c>
      <c r="D196" s="60">
        <v>1178</v>
      </c>
      <c r="E196" s="83">
        <f t="shared" si="9"/>
        <v>2.251405756520518</v>
      </c>
      <c r="F196" s="48"/>
    </row>
    <row r="197" spans="1:6" ht="12.75">
      <c r="A197" s="94"/>
      <c r="B197" s="49">
        <v>43235</v>
      </c>
      <c r="C197" s="58">
        <f t="shared" si="8"/>
        <v>2.956301</v>
      </c>
      <c r="D197" s="60">
        <v>1300</v>
      </c>
      <c r="E197" s="83">
        <f t="shared" si="9"/>
        <v>2.1887820575899695</v>
      </c>
      <c r="F197" s="48"/>
    </row>
    <row r="198" spans="1:6" ht="12.75">
      <c r="A198" s="94"/>
      <c r="B198" s="49">
        <v>43420</v>
      </c>
      <c r="C198" s="58">
        <f t="shared" si="8"/>
        <v>2.956301</v>
      </c>
      <c r="D198" s="60">
        <v>1428</v>
      </c>
      <c r="E198" s="83">
        <f t="shared" si="9"/>
        <v>2.124950154351979</v>
      </c>
      <c r="F198" s="48"/>
    </row>
    <row r="199" spans="1:6" ht="12.75">
      <c r="A199" s="94"/>
      <c r="B199" s="49">
        <v>43600</v>
      </c>
      <c r="C199" s="58">
        <f t="shared" si="8"/>
        <v>2.956301</v>
      </c>
      <c r="D199" s="60">
        <v>1550</v>
      </c>
      <c r="E199" s="83">
        <f t="shared" si="9"/>
        <v>2.0658438656151943</v>
      </c>
      <c r="F199" s="48"/>
    </row>
    <row r="200" spans="1:6" ht="12.75">
      <c r="A200" s="94"/>
      <c r="B200" s="49">
        <v>43787</v>
      </c>
      <c r="C200" s="58">
        <f t="shared" si="8"/>
        <v>2.956301</v>
      </c>
      <c r="D200" s="60">
        <v>1681</v>
      </c>
      <c r="E200" s="83">
        <f t="shared" si="9"/>
        <v>2.004206479055495</v>
      </c>
      <c r="F200" s="48"/>
    </row>
    <row r="201" spans="1:6" ht="12.75">
      <c r="A201" s="94"/>
      <c r="B201" s="49">
        <v>43966</v>
      </c>
      <c r="C201" s="58">
        <f t="shared" si="8"/>
        <v>2.956301</v>
      </c>
      <c r="D201" s="60">
        <v>1803</v>
      </c>
      <c r="E201" s="83">
        <f t="shared" si="9"/>
        <v>1.9484587211155848</v>
      </c>
      <c r="F201" s="48"/>
    </row>
    <row r="202" spans="1:6" ht="12.75">
      <c r="A202" s="94"/>
      <c r="B202" s="49">
        <v>44151</v>
      </c>
      <c r="C202" s="58">
        <f t="shared" si="8"/>
        <v>2.956301</v>
      </c>
      <c r="D202" s="60">
        <v>1930</v>
      </c>
      <c r="E202" s="83">
        <f t="shared" si="9"/>
        <v>1.8920728625119085</v>
      </c>
      <c r="F202" s="48"/>
    </row>
    <row r="203" spans="1:6" ht="12.75">
      <c r="A203" s="94"/>
      <c r="B203" s="49">
        <v>44333</v>
      </c>
      <c r="C203" s="58">
        <f t="shared" si="8"/>
        <v>2.956301</v>
      </c>
      <c r="D203" s="60">
        <v>2054</v>
      </c>
      <c r="E203" s="83">
        <f t="shared" si="9"/>
        <v>1.838593686022779</v>
      </c>
      <c r="F203" s="48"/>
    </row>
    <row r="204" spans="1:6" ht="12.75">
      <c r="A204" s="94"/>
      <c r="B204" s="49">
        <v>44516</v>
      </c>
      <c r="C204" s="58">
        <f t="shared" si="8"/>
        <v>2.956301</v>
      </c>
      <c r="D204" s="60">
        <v>2180</v>
      </c>
      <c r="E204" s="83">
        <f t="shared" si="9"/>
        <v>1.7858000538532557</v>
      </c>
      <c r="F204" s="48"/>
    </row>
    <row r="205" spans="1:6" ht="12.75">
      <c r="A205" s="94"/>
      <c r="B205" s="49">
        <v>44697</v>
      </c>
      <c r="C205" s="58">
        <f t="shared" si="8"/>
        <v>2.956301</v>
      </c>
      <c r="D205" s="60">
        <v>2305</v>
      </c>
      <c r="E205" s="83">
        <f t="shared" si="9"/>
        <v>1.7349234580383481</v>
      </c>
      <c r="F205" s="48"/>
    </row>
    <row r="206" spans="1:6" ht="12.75">
      <c r="A206" s="94"/>
      <c r="B206" s="49">
        <v>44881</v>
      </c>
      <c r="C206" s="58">
        <f t="shared" si="8"/>
        <v>2.956301</v>
      </c>
      <c r="D206" s="60">
        <v>2432</v>
      </c>
      <c r="E206" s="83">
        <f t="shared" si="9"/>
        <v>1.6847170319370335</v>
      </c>
      <c r="F206" s="48"/>
    </row>
    <row r="207" spans="1:6" ht="12.75">
      <c r="A207" s="94"/>
      <c r="B207" s="49">
        <v>45061</v>
      </c>
      <c r="C207" s="58">
        <f t="shared" si="8"/>
        <v>2.956301</v>
      </c>
      <c r="D207" s="60">
        <v>2555</v>
      </c>
      <c r="E207" s="83">
        <f t="shared" si="9"/>
        <v>1.6374773224552068</v>
      </c>
      <c r="F207" s="48"/>
    </row>
    <row r="208" spans="1:6" ht="12.75">
      <c r="A208" s="94"/>
      <c r="B208" s="49">
        <v>45246</v>
      </c>
      <c r="C208" s="58">
        <f t="shared" si="8"/>
        <v>2.956301</v>
      </c>
      <c r="D208" s="60">
        <v>2683</v>
      </c>
      <c r="E208" s="83">
        <f t="shared" si="9"/>
        <v>1.5897232330798337</v>
      </c>
      <c r="F208" s="48"/>
    </row>
    <row r="209" spans="1:6" ht="12.75">
      <c r="A209" s="94"/>
      <c r="B209" s="49">
        <v>45427</v>
      </c>
      <c r="C209" s="58">
        <f t="shared" si="8"/>
        <v>2.956301</v>
      </c>
      <c r="D209" s="60">
        <v>2806</v>
      </c>
      <c r="E209" s="83">
        <f t="shared" si="9"/>
        <v>1.5451471634707692</v>
      </c>
      <c r="F209" s="48"/>
    </row>
    <row r="210" spans="1:6" ht="12.75">
      <c r="A210" s="94"/>
      <c r="B210" s="49">
        <v>45614</v>
      </c>
      <c r="C210" s="58">
        <f t="shared" si="8"/>
        <v>2.956301</v>
      </c>
      <c r="D210" s="60">
        <v>2937</v>
      </c>
      <c r="E210" s="83">
        <f t="shared" si="9"/>
        <v>1.4990455027442897</v>
      </c>
      <c r="F210" s="48"/>
    </row>
    <row r="211" spans="1:6" ht="12.75">
      <c r="A211" s="94"/>
      <c r="B211" s="49">
        <v>45792</v>
      </c>
      <c r="C211" s="58">
        <f t="shared" si="8"/>
        <v>2.956301</v>
      </c>
      <c r="D211" s="60">
        <v>3058</v>
      </c>
      <c r="E211" s="83">
        <f t="shared" si="9"/>
        <v>1.4576860032743106</v>
      </c>
      <c r="F211" s="48"/>
    </row>
    <row r="212" spans="1:6" ht="12.75">
      <c r="A212" s="94"/>
      <c r="B212" s="49">
        <v>45978</v>
      </c>
      <c r="C212" s="58">
        <f t="shared" si="8"/>
        <v>2.956301</v>
      </c>
      <c r="D212" s="60">
        <v>3189</v>
      </c>
      <c r="E212" s="83">
        <f t="shared" si="9"/>
        <v>1.4141938705134809</v>
      </c>
      <c r="F212" s="48"/>
    </row>
    <row r="213" spans="1:6" ht="12.75">
      <c r="A213" s="94"/>
      <c r="B213" s="49">
        <v>46157</v>
      </c>
      <c r="C213" s="58">
        <f t="shared" si="8"/>
        <v>2.956301</v>
      </c>
      <c r="D213" s="60">
        <v>3311</v>
      </c>
      <c r="E213" s="83">
        <f t="shared" si="9"/>
        <v>1.3748575354614938</v>
      </c>
      <c r="F213" s="48"/>
    </row>
    <row r="214" spans="1:6" ht="12.75">
      <c r="A214" s="94"/>
      <c r="B214" s="49">
        <v>46342</v>
      </c>
      <c r="C214" s="58">
        <f t="shared" si="8"/>
        <v>2.956301</v>
      </c>
      <c r="D214" s="60">
        <v>3438</v>
      </c>
      <c r="E214" s="83">
        <f t="shared" si="9"/>
        <v>1.3350709483736516</v>
      </c>
      <c r="F214" s="48"/>
    </row>
    <row r="215" spans="1:6" ht="12.75">
      <c r="A215" s="94"/>
      <c r="B215" s="49">
        <v>46524</v>
      </c>
      <c r="C215" s="58">
        <f t="shared" si="8"/>
        <v>2.956301</v>
      </c>
      <c r="D215" s="60">
        <v>3562</v>
      </c>
      <c r="E215" s="83">
        <f t="shared" si="9"/>
        <v>1.297335353572722</v>
      </c>
      <c r="F215" s="48"/>
    </row>
    <row r="216" spans="1:6" ht="12.75">
      <c r="A216" s="94"/>
      <c r="B216" s="49">
        <v>46707</v>
      </c>
      <c r="C216" s="58">
        <f t="shared" si="8"/>
        <v>2.956301</v>
      </c>
      <c r="D216" s="60">
        <v>3688</v>
      </c>
      <c r="E216" s="83">
        <f t="shared" si="9"/>
        <v>1.2600834876614475</v>
      </c>
      <c r="F216" s="48"/>
    </row>
    <row r="217" spans="1:6" ht="12.75">
      <c r="A217" s="94"/>
      <c r="B217" s="49">
        <v>46888</v>
      </c>
      <c r="C217" s="58">
        <f t="shared" si="8"/>
        <v>2.956301</v>
      </c>
      <c r="D217" s="60">
        <v>3812</v>
      </c>
      <c r="E217" s="83">
        <f t="shared" si="9"/>
        <v>1.2244674030154152</v>
      </c>
      <c r="F217" s="48"/>
    </row>
    <row r="218" spans="1:6" ht="12.75">
      <c r="A218" s="94"/>
      <c r="B218" s="49">
        <v>47073</v>
      </c>
      <c r="C218" s="58">
        <f t="shared" si="8"/>
        <v>2.956301</v>
      </c>
      <c r="D218" s="60">
        <v>3940</v>
      </c>
      <c r="E218" s="83">
        <f t="shared" si="9"/>
        <v>1.1887580072277806</v>
      </c>
      <c r="F218" s="48"/>
    </row>
    <row r="219" spans="1:6" ht="12.75">
      <c r="A219" s="94"/>
      <c r="B219" s="49">
        <v>47253</v>
      </c>
      <c r="C219" s="58">
        <f t="shared" si="8"/>
        <v>2.956301</v>
      </c>
      <c r="D219" s="60">
        <v>4062</v>
      </c>
      <c r="E219" s="83">
        <f t="shared" si="9"/>
        <v>1.1556922556055749</v>
      </c>
      <c r="F219" s="48"/>
    </row>
    <row r="220" spans="1:6" ht="12.75">
      <c r="A220" s="94"/>
      <c r="B220" s="49">
        <v>47438</v>
      </c>
      <c r="C220" s="58">
        <f t="shared" si="8"/>
        <v>2.956301</v>
      </c>
      <c r="D220" s="60">
        <v>4190</v>
      </c>
      <c r="E220" s="83">
        <f t="shared" si="9"/>
        <v>1.1219885636473463</v>
      </c>
      <c r="F220" s="48"/>
    </row>
    <row r="221" spans="1:6" ht="12.75">
      <c r="A221" s="94"/>
      <c r="B221" s="49">
        <v>47618</v>
      </c>
      <c r="C221" s="58">
        <f t="shared" si="8"/>
        <v>2.956301</v>
      </c>
      <c r="D221" s="60">
        <v>4312</v>
      </c>
      <c r="E221" s="83">
        <f t="shared" si="9"/>
        <v>1.0907800292417313</v>
      </c>
      <c r="F221" s="48"/>
    </row>
    <row r="222" spans="1:6" ht="12.75">
      <c r="A222" s="94"/>
      <c r="B222" s="49">
        <v>47805</v>
      </c>
      <c r="C222" s="58">
        <f t="shared" si="8"/>
        <v>2.956301</v>
      </c>
      <c r="D222" s="60">
        <v>4443</v>
      </c>
      <c r="E222" s="83">
        <f t="shared" si="9"/>
        <v>1.0582350574590014</v>
      </c>
      <c r="F222" s="48"/>
    </row>
    <row r="223" spans="1:6" ht="12.75">
      <c r="A223" s="94"/>
      <c r="B223" s="49">
        <v>47983</v>
      </c>
      <c r="C223" s="58">
        <f t="shared" si="8"/>
        <v>2.956301</v>
      </c>
      <c r="D223" s="60">
        <v>4564</v>
      </c>
      <c r="E223" s="83">
        <f t="shared" si="9"/>
        <v>1.0290377634355956</v>
      </c>
      <c r="F223" s="48"/>
    </row>
    <row r="224" spans="1:6" ht="12.75">
      <c r="A224" s="94"/>
      <c r="B224" s="49">
        <v>48169</v>
      </c>
      <c r="C224" s="58">
        <f t="shared" si="8"/>
        <v>2.956301</v>
      </c>
      <c r="D224" s="60">
        <v>4695</v>
      </c>
      <c r="E224" s="83">
        <f t="shared" si="9"/>
        <v>0.9983349598669825</v>
      </c>
      <c r="F224" s="48"/>
    </row>
    <row r="225" spans="1:6" ht="12.75">
      <c r="A225" s="94"/>
      <c r="B225" s="49">
        <v>48351</v>
      </c>
      <c r="C225" s="58">
        <f t="shared" si="8"/>
        <v>2.956301</v>
      </c>
      <c r="D225" s="60">
        <v>4819</v>
      </c>
      <c r="E225" s="83">
        <f t="shared" si="9"/>
        <v>0.9701171609799383</v>
      </c>
      <c r="F225" s="48"/>
    </row>
    <row r="226" spans="1:6" ht="12.75">
      <c r="A226" s="94"/>
      <c r="B226" s="49">
        <v>48534</v>
      </c>
      <c r="C226" s="58">
        <f t="shared" si="8"/>
        <v>2.956301</v>
      </c>
      <c r="D226" s="60">
        <v>4945</v>
      </c>
      <c r="E226" s="83">
        <f t="shared" si="9"/>
        <v>0.9422610832899802</v>
      </c>
      <c r="F226" s="48"/>
    </row>
    <row r="227" spans="1:6" ht="12.75">
      <c r="A227" s="94"/>
      <c r="B227" s="49">
        <v>48715</v>
      </c>
      <c r="C227" s="58">
        <f t="shared" si="8"/>
        <v>2.956301</v>
      </c>
      <c r="D227" s="60">
        <v>5070</v>
      </c>
      <c r="E227" s="83">
        <f t="shared" si="9"/>
        <v>0.9154165123184305</v>
      </c>
      <c r="F227" s="48"/>
    </row>
    <row r="228" spans="1:6" ht="12.75">
      <c r="A228" s="94"/>
      <c r="B228" s="49">
        <v>48899</v>
      </c>
      <c r="C228" s="58">
        <f t="shared" si="8"/>
        <v>2.956301</v>
      </c>
      <c r="D228" s="60">
        <v>5197</v>
      </c>
      <c r="E228" s="83">
        <f t="shared" si="9"/>
        <v>0.8889255502735662</v>
      </c>
      <c r="F228" s="48"/>
    </row>
    <row r="229" spans="1:6" ht="12.75">
      <c r="A229" s="94"/>
      <c r="B229" s="49">
        <v>49079</v>
      </c>
      <c r="C229" s="58">
        <f t="shared" si="8"/>
        <v>2.956301</v>
      </c>
      <c r="D229" s="60">
        <v>5320</v>
      </c>
      <c r="E229" s="83">
        <f t="shared" si="9"/>
        <v>0.8639999491489581</v>
      </c>
      <c r="F229" s="48"/>
    </row>
    <row r="230" spans="1:6" ht="12.75">
      <c r="A230" s="94"/>
      <c r="B230" s="49">
        <v>49264</v>
      </c>
      <c r="C230" s="58">
        <f t="shared" si="8"/>
        <v>2.956301</v>
      </c>
      <c r="D230" s="60">
        <v>5448</v>
      </c>
      <c r="E230" s="83">
        <f t="shared" si="9"/>
        <v>0.8388029401729111</v>
      </c>
      <c r="F230" s="48"/>
    </row>
    <row r="231" spans="1:6" ht="12.75">
      <c r="A231" s="94"/>
      <c r="B231" s="49">
        <v>49444</v>
      </c>
      <c r="C231" s="58">
        <f t="shared" si="8"/>
        <v>2.956301</v>
      </c>
      <c r="D231" s="60">
        <v>5570</v>
      </c>
      <c r="E231" s="83">
        <f t="shared" si="9"/>
        <v>0.8154713205235817</v>
      </c>
      <c r="F231" s="48"/>
    </row>
    <row r="232" spans="1:6" ht="12.75">
      <c r="A232" s="94"/>
      <c r="B232" s="49">
        <v>49629</v>
      </c>
      <c r="C232" s="58">
        <f t="shared" si="8"/>
        <v>2.956301</v>
      </c>
      <c r="D232" s="60">
        <v>5698</v>
      </c>
      <c r="E232" s="83">
        <f t="shared" si="9"/>
        <v>0.7916895619677153</v>
      </c>
      <c r="F232" s="48"/>
    </row>
    <row r="233" spans="1:6" ht="12.75">
      <c r="A233" s="94"/>
      <c r="B233" s="49">
        <v>49810</v>
      </c>
      <c r="C233" s="58">
        <f t="shared" si="8"/>
        <v>2.956301</v>
      </c>
      <c r="D233" s="60">
        <v>5820</v>
      </c>
      <c r="E233" s="83">
        <f t="shared" si="9"/>
        <v>0.7696684186746705</v>
      </c>
      <c r="F233" s="48"/>
    </row>
    <row r="234" spans="1:6" ht="12.75">
      <c r="A234" s="94"/>
      <c r="B234" s="49">
        <v>49996</v>
      </c>
      <c r="C234" s="58">
        <f t="shared" si="8"/>
        <v>2.956301</v>
      </c>
      <c r="D234" s="60">
        <v>5951</v>
      </c>
      <c r="E234" s="83">
        <f t="shared" si="9"/>
        <v>0.7467042679785503</v>
      </c>
      <c r="F234" s="48"/>
    </row>
    <row r="235" spans="1:6" ht="12.75">
      <c r="A235" s="94"/>
      <c r="B235" s="49">
        <v>50175</v>
      </c>
      <c r="C235" s="58">
        <f t="shared" si="8"/>
        <v>2.956301</v>
      </c>
      <c r="D235" s="60">
        <v>6073</v>
      </c>
      <c r="E235" s="83">
        <f t="shared" si="9"/>
        <v>0.7259344075779475</v>
      </c>
      <c r="F235" s="48"/>
    </row>
    <row r="236" spans="1:6" ht="12.75">
      <c r="A236" s="94"/>
      <c r="B236" s="49">
        <v>50360</v>
      </c>
      <c r="C236" s="58">
        <f t="shared" si="8"/>
        <v>2.956301</v>
      </c>
      <c r="D236" s="60">
        <v>6200</v>
      </c>
      <c r="E236" s="83">
        <f t="shared" si="9"/>
        <v>0.7049268109490601</v>
      </c>
      <c r="F236" s="48"/>
    </row>
    <row r="237" spans="1:6" ht="12.75">
      <c r="A237" s="94"/>
      <c r="B237" s="49">
        <v>50542</v>
      </c>
      <c r="C237" s="58">
        <f t="shared" si="8"/>
        <v>2.956301</v>
      </c>
      <c r="D237" s="60">
        <v>6324</v>
      </c>
      <c r="E237" s="83">
        <f t="shared" si="9"/>
        <v>0.6850021526118463</v>
      </c>
      <c r="F237" s="48"/>
    </row>
    <row r="238" spans="1:6" ht="12.75">
      <c r="A238" s="94"/>
      <c r="B238" s="49">
        <v>50725</v>
      </c>
      <c r="C238" s="58">
        <f t="shared" si="8"/>
        <v>2.956301</v>
      </c>
      <c r="D238" s="60">
        <v>6450</v>
      </c>
      <c r="E238" s="83">
        <f t="shared" si="9"/>
        <v>0.6653329065161793</v>
      </c>
      <c r="F238" s="48"/>
    </row>
    <row r="239" spans="1:6" ht="12.75">
      <c r="A239" s="94"/>
      <c r="B239" s="49">
        <v>50906</v>
      </c>
      <c r="C239" s="58">
        <f t="shared" si="8"/>
        <v>2.956301</v>
      </c>
      <c r="D239" s="60">
        <v>6575</v>
      </c>
      <c r="E239" s="83">
        <f t="shared" si="9"/>
        <v>0.6463778878430961</v>
      </c>
      <c r="F239" s="48"/>
    </row>
    <row r="240" spans="1:6" ht="12.75">
      <c r="A240" s="94"/>
      <c r="B240" s="49">
        <v>51090</v>
      </c>
      <c r="C240" s="58">
        <f t="shared" si="8"/>
        <v>2.956301</v>
      </c>
      <c r="D240" s="60">
        <v>6702</v>
      </c>
      <c r="E240" s="83">
        <f t="shared" si="9"/>
        <v>0.6276725533171502</v>
      </c>
      <c r="F240" s="48"/>
    </row>
    <row r="241" spans="1:6" ht="12.75">
      <c r="A241" s="94"/>
      <c r="B241" s="49">
        <v>51271</v>
      </c>
      <c r="C241" s="58">
        <f t="shared" si="8"/>
        <v>2.956301</v>
      </c>
      <c r="D241" s="60">
        <v>6827</v>
      </c>
      <c r="E241" s="83">
        <f t="shared" si="9"/>
        <v>0.609790460229336</v>
      </c>
      <c r="F241" s="48"/>
    </row>
    <row r="242" spans="1:6" ht="12.75">
      <c r="A242" s="94"/>
      <c r="B242" s="49">
        <v>51456</v>
      </c>
      <c r="C242" s="58">
        <f t="shared" si="8"/>
        <v>2.956301</v>
      </c>
      <c r="D242" s="60">
        <v>6955</v>
      </c>
      <c r="E242" s="83">
        <f t="shared" si="9"/>
        <v>0.592007015085571</v>
      </c>
      <c r="F242" s="48"/>
    </row>
    <row r="243" spans="1:6" ht="12.75">
      <c r="A243" s="94"/>
      <c r="B243" s="49">
        <v>51636</v>
      </c>
      <c r="C243" s="58">
        <f t="shared" si="8"/>
        <v>2.956301</v>
      </c>
      <c r="D243" s="60">
        <v>7077</v>
      </c>
      <c r="E243" s="83">
        <f t="shared" si="9"/>
        <v>0.5755401170286041</v>
      </c>
      <c r="F243" s="48"/>
    </row>
    <row r="244" spans="1:6" ht="12.75">
      <c r="A244" s="94"/>
      <c r="B244" s="49">
        <v>51823</v>
      </c>
      <c r="C244" s="58">
        <f t="shared" si="8"/>
        <v>2.956301</v>
      </c>
      <c r="D244" s="60">
        <v>7208</v>
      </c>
      <c r="E244" s="83">
        <f t="shared" si="9"/>
        <v>0.5583680599993366</v>
      </c>
      <c r="F244" s="48"/>
    </row>
    <row r="245" spans="1:6" ht="12.75">
      <c r="A245" s="94"/>
      <c r="B245" s="49">
        <v>52001</v>
      </c>
      <c r="C245" s="58">
        <f t="shared" si="8"/>
        <v>2.956301</v>
      </c>
      <c r="D245" s="60">
        <v>7329</v>
      </c>
      <c r="E245" s="83">
        <f t="shared" si="9"/>
        <v>0.542962374555287</v>
      </c>
      <c r="F245" s="48"/>
    </row>
    <row r="246" spans="1:6" ht="12.75">
      <c r="A246" s="94"/>
      <c r="B246" s="49">
        <v>52187</v>
      </c>
      <c r="C246" s="58">
        <f t="shared" si="8"/>
        <v>2.956301</v>
      </c>
      <c r="D246" s="60">
        <v>7460</v>
      </c>
      <c r="E246" s="83">
        <f t="shared" si="9"/>
        <v>0.526762320754091</v>
      </c>
      <c r="F246" s="48"/>
    </row>
    <row r="247" spans="1:6" ht="12.75">
      <c r="A247" s="94"/>
      <c r="B247" s="49">
        <v>52366</v>
      </c>
      <c r="C247" s="58">
        <f>IF(D247&gt;0,2.956301,0)</f>
        <v>2.956301</v>
      </c>
      <c r="D247" s="60">
        <v>7582</v>
      </c>
      <c r="E247" s="83">
        <f>IF(D247&gt;0,C247/(1+$H$81/100)^(D247/252),0)</f>
        <v>0.5121102284391799</v>
      </c>
      <c r="F247" s="48"/>
    </row>
    <row r="248" spans="1:6" ht="12.75">
      <c r="A248" s="94"/>
      <c r="B248" s="49">
        <v>52551</v>
      </c>
      <c r="C248" s="58">
        <f>IF(D248&gt;0,2.956301,0)</f>
        <v>2.956301</v>
      </c>
      <c r="D248" s="60">
        <v>7709</v>
      </c>
      <c r="E248" s="83">
        <f>IF(D248&gt;0,C248/(1+$H$81/100)^(D248/252),0)</f>
        <v>0.49729042516732236</v>
      </c>
      <c r="F248" s="48"/>
    </row>
    <row r="249" spans="1:6" ht="12.75">
      <c r="A249" s="94"/>
      <c r="B249" s="49">
        <v>52733</v>
      </c>
      <c r="C249" s="58">
        <f>IF(D249&gt;0,2.956301,0)</f>
        <v>2.956301</v>
      </c>
      <c r="D249" s="60">
        <v>7833</v>
      </c>
      <c r="E249" s="83">
        <f>IF(D249&gt;0,C249/(1+$H$81/100)^(D249/252),0)</f>
        <v>0.48323458041588363</v>
      </c>
      <c r="F249" s="48"/>
    </row>
    <row r="250" spans="1:6" ht="12.75">
      <c r="A250" s="96"/>
      <c r="B250" s="97">
        <v>52917</v>
      </c>
      <c r="C250" s="58">
        <f>IF(D250&gt;0,2.956301,0)</f>
        <v>2.956301</v>
      </c>
      <c r="D250" s="60">
        <v>7960</v>
      </c>
      <c r="E250" s="83">
        <f>IF(D250&gt;0,C250/(1+$H$81/100)^(D250/252),0)</f>
        <v>0.4692504008033248</v>
      </c>
      <c r="F250" s="91"/>
    </row>
    <row r="251" spans="1:6" ht="12.75">
      <c r="A251" s="94"/>
      <c r="B251" s="49">
        <v>53097</v>
      </c>
      <c r="C251" s="58">
        <f>IF(D251&gt;0,2.956301,0)</f>
        <v>2.956301</v>
      </c>
      <c r="D251" s="60">
        <v>8083</v>
      </c>
      <c r="E251" s="83">
        <f>IF(D251&gt;0,C251/(1+$H$81/100)^(D251/252),0)</f>
        <v>0.45609255162868184</v>
      </c>
      <c r="F251" s="48"/>
    </row>
    <row r="252" spans="1:6" ht="12.75">
      <c r="A252" s="94"/>
      <c r="B252" s="49"/>
      <c r="C252" s="48"/>
      <c r="D252" s="48"/>
      <c r="E252" s="48"/>
      <c r="F252" s="48"/>
    </row>
    <row r="253" spans="1:6" ht="12.75">
      <c r="A253" s="94"/>
      <c r="B253" s="49"/>
      <c r="C253" s="48"/>
      <c r="D253" s="48"/>
      <c r="E253" s="83"/>
      <c r="F253" s="48"/>
    </row>
    <row r="254" spans="1:6" ht="13.5" thickBot="1">
      <c r="A254" s="95"/>
      <c r="B254" s="85"/>
      <c r="C254" s="86"/>
      <c r="D254" s="87" t="s">
        <v>62</v>
      </c>
      <c r="E254" s="87">
        <f>SUM(E184:E253)</f>
        <v>86.71830364008666</v>
      </c>
      <c r="F254" s="86"/>
    </row>
    <row r="263" spans="1:9" s="98" customFormat="1" ht="12.75">
      <c r="A263" s="74"/>
      <c r="B263" s="74"/>
      <c r="C263" s="74"/>
      <c r="D263" s="74"/>
      <c r="E263" s="74"/>
      <c r="F263" s="74"/>
      <c r="G263" s="58"/>
      <c r="H263" s="58"/>
      <c r="I263" s="5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/>
  <dimension ref="A1:L6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2" width="12.421875" style="74" customWidth="1"/>
    <col min="13" max="16384" width="9.140625" style="74" customWidth="1"/>
  </cols>
  <sheetData>
    <row r="1" spans="1:12" ht="12.75">
      <c r="A1" s="16">
        <v>39814</v>
      </c>
      <c r="B1" s="16">
        <v>39867</v>
      </c>
      <c r="C1" s="16">
        <v>39868</v>
      </c>
      <c r="D1" s="16">
        <v>39913</v>
      </c>
      <c r="E1" s="16">
        <v>39924</v>
      </c>
      <c r="F1" s="16">
        <v>39934</v>
      </c>
      <c r="G1" s="16">
        <v>39975</v>
      </c>
      <c r="H1" s="16">
        <v>40063</v>
      </c>
      <c r="I1" s="16">
        <v>40098</v>
      </c>
      <c r="J1" s="16">
        <v>40119</v>
      </c>
      <c r="K1" s="16">
        <v>40132</v>
      </c>
      <c r="L1" s="16">
        <v>40172</v>
      </c>
    </row>
    <row r="2" spans="1:12" ht="12.75">
      <c r="A2" s="16">
        <v>40179</v>
      </c>
      <c r="B2" s="16">
        <v>40224</v>
      </c>
      <c r="C2" s="16">
        <v>40225</v>
      </c>
      <c r="D2" s="16">
        <v>40270</v>
      </c>
      <c r="E2" s="16">
        <v>40289</v>
      </c>
      <c r="F2" s="16">
        <v>40299</v>
      </c>
      <c r="G2" s="16">
        <v>40332</v>
      </c>
      <c r="H2" s="16">
        <v>40428</v>
      </c>
      <c r="I2" s="16">
        <v>40463</v>
      </c>
      <c r="J2" s="16">
        <v>40484</v>
      </c>
      <c r="K2" s="16">
        <v>40497</v>
      </c>
      <c r="L2" s="16">
        <v>40537</v>
      </c>
    </row>
    <row r="3" spans="1:12" ht="12.75">
      <c r="A3" s="16">
        <v>40544</v>
      </c>
      <c r="B3" s="16">
        <v>40609</v>
      </c>
      <c r="C3" s="16">
        <v>40610</v>
      </c>
      <c r="D3" s="16">
        <v>40654</v>
      </c>
      <c r="E3" s="16">
        <v>40655</v>
      </c>
      <c r="F3" s="16">
        <v>40664</v>
      </c>
      <c r="G3" s="16">
        <v>40717</v>
      </c>
      <c r="H3" s="16">
        <v>40793</v>
      </c>
      <c r="I3" s="16">
        <v>40828</v>
      </c>
      <c r="J3" s="16">
        <v>40849</v>
      </c>
      <c r="K3" s="16">
        <v>40862</v>
      </c>
      <c r="L3" s="16">
        <v>40902</v>
      </c>
    </row>
    <row r="4" spans="1:12" ht="12.75">
      <c r="A4" s="16">
        <v>40909</v>
      </c>
      <c r="B4" s="16">
        <v>40959</v>
      </c>
      <c r="C4" s="16">
        <v>40960</v>
      </c>
      <c r="D4" s="16">
        <v>41005</v>
      </c>
      <c r="E4" s="16">
        <v>41020</v>
      </c>
      <c r="F4" s="16">
        <v>41030</v>
      </c>
      <c r="G4" s="16">
        <v>41067</v>
      </c>
      <c r="H4" s="16">
        <v>41159</v>
      </c>
      <c r="I4" s="16">
        <v>41194</v>
      </c>
      <c r="J4" s="16">
        <v>41215</v>
      </c>
      <c r="K4" s="16">
        <v>41228</v>
      </c>
      <c r="L4" s="16">
        <v>41268</v>
      </c>
    </row>
    <row r="5" spans="1:12" ht="12.75">
      <c r="A5" s="16">
        <v>41275</v>
      </c>
      <c r="B5" s="16">
        <v>41316</v>
      </c>
      <c r="C5" s="16">
        <v>41317</v>
      </c>
      <c r="D5" s="16">
        <v>41362</v>
      </c>
      <c r="E5" s="16">
        <v>41385</v>
      </c>
      <c r="F5" s="16">
        <v>41395</v>
      </c>
      <c r="G5" s="16">
        <v>41424</v>
      </c>
      <c r="H5" s="16">
        <v>41524</v>
      </c>
      <c r="I5" s="16">
        <v>41559</v>
      </c>
      <c r="J5" s="16">
        <v>41580</v>
      </c>
      <c r="K5" s="16">
        <v>41593</v>
      </c>
      <c r="L5" s="16">
        <v>41633</v>
      </c>
    </row>
    <row r="6" spans="1:12" ht="12.75">
      <c r="A6" s="16">
        <v>41640</v>
      </c>
      <c r="B6" s="16">
        <v>41701</v>
      </c>
      <c r="C6" s="16">
        <v>41702</v>
      </c>
      <c r="D6" s="16">
        <v>41747</v>
      </c>
      <c r="E6" s="16">
        <v>41750</v>
      </c>
      <c r="F6" s="16">
        <v>41760</v>
      </c>
      <c r="G6" s="16">
        <v>41809</v>
      </c>
      <c r="H6" s="16">
        <v>41889</v>
      </c>
      <c r="I6" s="16">
        <v>41924</v>
      </c>
      <c r="J6" s="16">
        <v>41945</v>
      </c>
      <c r="K6" s="16">
        <v>41958</v>
      </c>
      <c r="L6" s="16">
        <v>41998</v>
      </c>
    </row>
    <row r="7" spans="1:12" ht="12.75">
      <c r="A7" s="16">
        <v>42005</v>
      </c>
      <c r="B7" s="16">
        <v>42051</v>
      </c>
      <c r="C7" s="16">
        <v>42052</v>
      </c>
      <c r="D7" s="16">
        <v>42097</v>
      </c>
      <c r="E7" s="16">
        <v>42115</v>
      </c>
      <c r="F7" s="16">
        <v>42125</v>
      </c>
      <c r="G7" s="16">
        <v>42159</v>
      </c>
      <c r="H7" s="16">
        <v>42254</v>
      </c>
      <c r="I7" s="16">
        <v>42289</v>
      </c>
      <c r="J7" s="16">
        <v>42310</v>
      </c>
      <c r="K7" s="16">
        <v>42323</v>
      </c>
      <c r="L7" s="16">
        <v>42363</v>
      </c>
    </row>
    <row r="8" spans="1:12" ht="12.75">
      <c r="A8" s="16">
        <v>42370</v>
      </c>
      <c r="B8" s="16">
        <v>42408</v>
      </c>
      <c r="C8" s="16">
        <v>42409</v>
      </c>
      <c r="D8" s="16">
        <v>42454</v>
      </c>
      <c r="E8" s="16">
        <v>42481</v>
      </c>
      <c r="F8" s="16">
        <v>42491</v>
      </c>
      <c r="G8" s="16">
        <v>42516</v>
      </c>
      <c r="H8" s="16">
        <v>42620</v>
      </c>
      <c r="I8" s="16">
        <v>42655</v>
      </c>
      <c r="J8" s="16">
        <v>42676</v>
      </c>
      <c r="K8" s="16">
        <v>42689</v>
      </c>
      <c r="L8" s="16">
        <v>42729</v>
      </c>
    </row>
    <row r="9" spans="1:12" ht="12.75">
      <c r="A9" s="16">
        <v>42736</v>
      </c>
      <c r="B9" s="16">
        <v>42793</v>
      </c>
      <c r="C9" s="16">
        <v>42794</v>
      </c>
      <c r="D9" s="16">
        <v>42839</v>
      </c>
      <c r="E9" s="16">
        <v>42846</v>
      </c>
      <c r="F9" s="16">
        <v>42856</v>
      </c>
      <c r="G9" s="16">
        <v>42901</v>
      </c>
      <c r="H9" s="16">
        <v>42985</v>
      </c>
      <c r="I9" s="16">
        <v>43020</v>
      </c>
      <c r="J9" s="16">
        <v>43041</v>
      </c>
      <c r="K9" s="16">
        <v>43054</v>
      </c>
      <c r="L9" s="16">
        <v>43094</v>
      </c>
    </row>
    <row r="10" spans="1:12" ht="12.75">
      <c r="A10" s="16">
        <v>43101</v>
      </c>
      <c r="B10" s="16">
        <v>43143</v>
      </c>
      <c r="C10" s="16">
        <v>43144</v>
      </c>
      <c r="D10" s="16">
        <v>43189</v>
      </c>
      <c r="E10" s="16">
        <v>43211</v>
      </c>
      <c r="F10" s="16">
        <v>43221</v>
      </c>
      <c r="G10" s="16">
        <v>43251</v>
      </c>
      <c r="H10" s="16">
        <v>43350</v>
      </c>
      <c r="I10" s="16">
        <v>43385</v>
      </c>
      <c r="J10" s="16">
        <v>43406</v>
      </c>
      <c r="K10" s="16">
        <v>43419</v>
      </c>
      <c r="L10" s="16">
        <v>43459</v>
      </c>
    </row>
    <row r="11" spans="1:12" ht="12.75">
      <c r="A11" s="16">
        <v>43466</v>
      </c>
      <c r="B11" s="16">
        <v>43528</v>
      </c>
      <c r="C11" s="16">
        <v>43529</v>
      </c>
      <c r="D11" s="16">
        <v>43574</v>
      </c>
      <c r="E11" s="16">
        <v>43576</v>
      </c>
      <c r="F11" s="16">
        <v>43586</v>
      </c>
      <c r="G11" s="16">
        <v>43636</v>
      </c>
      <c r="H11" s="16">
        <v>43715</v>
      </c>
      <c r="I11" s="16">
        <v>43750</v>
      </c>
      <c r="J11" s="16">
        <v>43771</v>
      </c>
      <c r="K11" s="16">
        <v>43784</v>
      </c>
      <c r="L11" s="16">
        <v>43824</v>
      </c>
    </row>
    <row r="12" spans="1:12" ht="12.75">
      <c r="A12" s="16">
        <v>43831</v>
      </c>
      <c r="B12" s="16">
        <v>43885</v>
      </c>
      <c r="C12" s="16">
        <v>43886</v>
      </c>
      <c r="D12" s="16">
        <v>43931</v>
      </c>
      <c r="E12" s="16">
        <v>43942</v>
      </c>
      <c r="F12" s="16">
        <v>43952</v>
      </c>
      <c r="G12" s="16">
        <v>43993</v>
      </c>
      <c r="H12" s="16">
        <v>44081</v>
      </c>
      <c r="I12" s="16">
        <v>44116</v>
      </c>
      <c r="J12" s="16">
        <v>44137</v>
      </c>
      <c r="K12" s="16">
        <v>44150</v>
      </c>
      <c r="L12" s="16">
        <v>44190</v>
      </c>
    </row>
    <row r="13" spans="1:12" ht="12.75">
      <c r="A13" s="16">
        <v>44197</v>
      </c>
      <c r="B13" s="16">
        <v>44242</v>
      </c>
      <c r="C13" s="16">
        <v>44243</v>
      </c>
      <c r="D13" s="16">
        <v>44288</v>
      </c>
      <c r="E13" s="16">
        <v>44307</v>
      </c>
      <c r="F13" s="16">
        <v>44317</v>
      </c>
      <c r="G13" s="16">
        <v>44350</v>
      </c>
      <c r="H13" s="16">
        <v>44446</v>
      </c>
      <c r="I13" s="16">
        <v>44481</v>
      </c>
      <c r="J13" s="16">
        <v>44502</v>
      </c>
      <c r="K13" s="16">
        <v>44515</v>
      </c>
      <c r="L13" s="16">
        <v>44555</v>
      </c>
    </row>
    <row r="14" spans="1:12" ht="12.75">
      <c r="A14" s="16">
        <v>44562</v>
      </c>
      <c r="B14" s="16">
        <v>44620</v>
      </c>
      <c r="C14" s="16">
        <v>44621</v>
      </c>
      <c r="D14" s="16">
        <v>44666</v>
      </c>
      <c r="E14" s="16">
        <v>44672</v>
      </c>
      <c r="F14" s="16">
        <v>44682</v>
      </c>
      <c r="G14" s="16">
        <v>44728</v>
      </c>
      <c r="H14" s="16">
        <v>44811</v>
      </c>
      <c r="I14" s="16">
        <v>44846</v>
      </c>
      <c r="J14" s="16">
        <v>44867</v>
      </c>
      <c r="K14" s="16">
        <v>44880</v>
      </c>
      <c r="L14" s="16">
        <v>44920</v>
      </c>
    </row>
    <row r="15" spans="1:12" ht="12.75">
      <c r="A15" s="16">
        <v>44927</v>
      </c>
      <c r="B15" s="16">
        <v>44977</v>
      </c>
      <c r="C15" s="16">
        <v>44978</v>
      </c>
      <c r="D15" s="16">
        <v>45023</v>
      </c>
      <c r="E15" s="16">
        <v>45037</v>
      </c>
      <c r="F15" s="16">
        <v>45047</v>
      </c>
      <c r="G15" s="16">
        <v>45085</v>
      </c>
      <c r="H15" s="16">
        <v>45176</v>
      </c>
      <c r="I15" s="16">
        <v>45211</v>
      </c>
      <c r="J15" s="16">
        <v>45232</v>
      </c>
      <c r="K15" s="16">
        <v>45245</v>
      </c>
      <c r="L15" s="16">
        <v>45285</v>
      </c>
    </row>
    <row r="16" spans="1:12" ht="12.75">
      <c r="A16" s="16">
        <v>45292</v>
      </c>
      <c r="B16" s="16">
        <v>45334</v>
      </c>
      <c r="C16" s="16">
        <v>45335</v>
      </c>
      <c r="D16" s="16">
        <v>45380</v>
      </c>
      <c r="E16" s="16">
        <v>45403</v>
      </c>
      <c r="F16" s="16">
        <v>45413</v>
      </c>
      <c r="G16" s="16">
        <v>45442</v>
      </c>
      <c r="H16" s="16">
        <v>45542</v>
      </c>
      <c r="I16" s="16">
        <v>45577</v>
      </c>
      <c r="J16" s="16">
        <v>45598</v>
      </c>
      <c r="K16" s="16">
        <v>45611</v>
      </c>
      <c r="L16" s="16">
        <v>45651</v>
      </c>
    </row>
    <row r="17" spans="1:12" ht="12.75">
      <c r="A17" s="16">
        <v>45658</v>
      </c>
      <c r="B17" s="16">
        <v>45719</v>
      </c>
      <c r="C17" s="16">
        <v>45720</v>
      </c>
      <c r="D17" s="16">
        <v>45765</v>
      </c>
      <c r="E17" s="16">
        <v>45768</v>
      </c>
      <c r="F17" s="16">
        <v>45778</v>
      </c>
      <c r="G17" s="16">
        <v>45827</v>
      </c>
      <c r="H17" s="16">
        <v>45907</v>
      </c>
      <c r="I17" s="16">
        <v>45942</v>
      </c>
      <c r="J17" s="16">
        <v>45963</v>
      </c>
      <c r="K17" s="16">
        <v>45976</v>
      </c>
      <c r="L17" s="16">
        <v>46016</v>
      </c>
    </row>
    <row r="18" spans="1:12" ht="12.75">
      <c r="A18" s="16">
        <v>46023</v>
      </c>
      <c r="B18" s="16">
        <v>46069</v>
      </c>
      <c r="C18" s="16">
        <v>46070</v>
      </c>
      <c r="D18" s="16">
        <v>46115</v>
      </c>
      <c r="E18" s="16">
        <v>46133</v>
      </c>
      <c r="F18" s="16">
        <v>46143</v>
      </c>
      <c r="G18" s="16">
        <v>46177</v>
      </c>
      <c r="H18" s="16">
        <v>46272</v>
      </c>
      <c r="I18" s="16">
        <v>46307</v>
      </c>
      <c r="J18" s="16">
        <v>46328</v>
      </c>
      <c r="K18" s="16">
        <v>46341</v>
      </c>
      <c r="L18" s="16">
        <v>46381</v>
      </c>
    </row>
    <row r="19" spans="1:12" ht="12.75">
      <c r="A19" s="16">
        <v>46388</v>
      </c>
      <c r="B19" s="16">
        <v>46426</v>
      </c>
      <c r="C19" s="16">
        <v>46427</v>
      </c>
      <c r="D19" s="16">
        <v>46472</v>
      </c>
      <c r="E19" s="16">
        <v>46498</v>
      </c>
      <c r="F19" s="16">
        <v>46508</v>
      </c>
      <c r="G19" s="16">
        <v>46534</v>
      </c>
      <c r="H19" s="16">
        <v>46637</v>
      </c>
      <c r="I19" s="16">
        <v>46672</v>
      </c>
      <c r="J19" s="16">
        <v>46693</v>
      </c>
      <c r="K19" s="16">
        <v>46706</v>
      </c>
      <c r="L19" s="16">
        <v>46746</v>
      </c>
    </row>
    <row r="20" spans="1:12" ht="12.75">
      <c r="A20" s="16">
        <v>46753</v>
      </c>
      <c r="B20" s="16">
        <v>46811</v>
      </c>
      <c r="C20" s="16">
        <v>46812</v>
      </c>
      <c r="D20" s="16">
        <v>46857</v>
      </c>
      <c r="E20" s="16">
        <v>46864</v>
      </c>
      <c r="F20" s="16">
        <v>46874</v>
      </c>
      <c r="G20" s="16">
        <v>46919</v>
      </c>
      <c r="H20" s="16">
        <v>47003</v>
      </c>
      <c r="I20" s="16">
        <v>47038</v>
      </c>
      <c r="J20" s="16">
        <v>47059</v>
      </c>
      <c r="K20" s="16">
        <v>47072</v>
      </c>
      <c r="L20" s="16">
        <v>47112</v>
      </c>
    </row>
    <row r="21" spans="1:12" ht="12.75">
      <c r="A21" s="16">
        <v>47119</v>
      </c>
      <c r="B21" s="16">
        <v>47161</v>
      </c>
      <c r="C21" s="16">
        <v>47162</v>
      </c>
      <c r="D21" s="16">
        <v>47207</v>
      </c>
      <c r="E21" s="16">
        <v>47229</v>
      </c>
      <c r="F21" s="16">
        <v>47239</v>
      </c>
      <c r="G21" s="16">
        <v>47269</v>
      </c>
      <c r="H21" s="16">
        <v>47368</v>
      </c>
      <c r="I21" s="16">
        <v>47403</v>
      </c>
      <c r="J21" s="16">
        <v>47424</v>
      </c>
      <c r="K21" s="16">
        <v>47437</v>
      </c>
      <c r="L21" s="16">
        <v>47477</v>
      </c>
    </row>
    <row r="22" spans="1:12" ht="12.75">
      <c r="A22" s="16">
        <v>47484</v>
      </c>
      <c r="B22" s="16">
        <v>47546</v>
      </c>
      <c r="C22" s="16">
        <v>47547</v>
      </c>
      <c r="D22" s="16">
        <v>47592</v>
      </c>
      <c r="E22" s="16">
        <v>47594</v>
      </c>
      <c r="F22" s="16">
        <v>47604</v>
      </c>
      <c r="G22" s="16">
        <v>47654</v>
      </c>
      <c r="H22" s="16">
        <v>47733</v>
      </c>
      <c r="I22" s="16">
        <v>47768</v>
      </c>
      <c r="J22" s="16">
        <v>47789</v>
      </c>
      <c r="K22" s="16">
        <v>47802</v>
      </c>
      <c r="L22" s="16">
        <v>47842</v>
      </c>
    </row>
    <row r="23" spans="1:12" ht="12.75">
      <c r="A23" s="16">
        <v>47849</v>
      </c>
      <c r="B23" s="16">
        <v>47903</v>
      </c>
      <c r="C23" s="16">
        <v>47904</v>
      </c>
      <c r="D23" s="16">
        <v>47949</v>
      </c>
      <c r="E23" s="16">
        <v>47959</v>
      </c>
      <c r="F23" s="16">
        <v>47969</v>
      </c>
      <c r="G23" s="16">
        <v>48011</v>
      </c>
      <c r="H23" s="16">
        <v>48098</v>
      </c>
      <c r="I23" s="16">
        <v>48133</v>
      </c>
      <c r="J23" s="16">
        <v>48154</v>
      </c>
      <c r="K23" s="16">
        <v>48167</v>
      </c>
      <c r="L23" s="16">
        <v>48207</v>
      </c>
    </row>
    <row r="24" spans="1:12" ht="12.75">
      <c r="A24" s="16">
        <v>48214</v>
      </c>
      <c r="B24" s="16">
        <v>48253</v>
      </c>
      <c r="C24" s="16">
        <v>48254</v>
      </c>
      <c r="D24" s="16">
        <v>48299</v>
      </c>
      <c r="E24" s="16">
        <v>48325</v>
      </c>
      <c r="F24" s="16">
        <v>48335</v>
      </c>
      <c r="G24" s="16">
        <v>48361</v>
      </c>
      <c r="H24" s="16">
        <v>48464</v>
      </c>
      <c r="I24" s="16">
        <v>48499</v>
      </c>
      <c r="J24" s="16">
        <v>48520</v>
      </c>
      <c r="K24" s="16">
        <v>48533</v>
      </c>
      <c r="L24" s="16">
        <v>48573</v>
      </c>
    </row>
    <row r="25" spans="1:12" ht="12.75">
      <c r="A25" s="16">
        <v>48580</v>
      </c>
      <c r="B25" s="16">
        <v>48638</v>
      </c>
      <c r="C25" s="16">
        <v>48639</v>
      </c>
      <c r="D25" s="16">
        <v>48684</v>
      </c>
      <c r="E25" s="16">
        <v>48690</v>
      </c>
      <c r="F25" s="16">
        <v>48700</v>
      </c>
      <c r="G25" s="16">
        <v>48746</v>
      </c>
      <c r="H25" s="16">
        <v>48829</v>
      </c>
      <c r="I25" s="16">
        <v>48864</v>
      </c>
      <c r="J25" s="16">
        <v>48885</v>
      </c>
      <c r="K25" s="16">
        <v>48898</v>
      </c>
      <c r="L25" s="16">
        <v>48938</v>
      </c>
    </row>
    <row r="26" spans="1:12" ht="12.75">
      <c r="A26" s="16">
        <v>48945</v>
      </c>
      <c r="B26" s="16">
        <v>48995</v>
      </c>
      <c r="C26" s="16">
        <v>48996</v>
      </c>
      <c r="D26" s="16">
        <v>49041</v>
      </c>
      <c r="E26" s="16">
        <v>49055</v>
      </c>
      <c r="F26" s="16">
        <v>49065</v>
      </c>
      <c r="G26" s="16">
        <v>49103</v>
      </c>
      <c r="H26" s="16">
        <v>49194</v>
      </c>
      <c r="I26" s="16">
        <v>49229</v>
      </c>
      <c r="J26" s="16">
        <v>49250</v>
      </c>
      <c r="K26" s="16">
        <v>49263</v>
      </c>
      <c r="L26" s="16">
        <v>49303</v>
      </c>
    </row>
    <row r="27" spans="1:12" ht="12.75">
      <c r="A27" s="16">
        <v>49310</v>
      </c>
      <c r="B27" s="16">
        <v>49345</v>
      </c>
      <c r="C27" s="16">
        <v>49346</v>
      </c>
      <c r="D27" s="16">
        <v>49391</v>
      </c>
      <c r="E27" s="16">
        <v>49420</v>
      </c>
      <c r="F27" s="16">
        <v>49430</v>
      </c>
      <c r="G27" s="16">
        <v>49453</v>
      </c>
      <c r="H27" s="16">
        <v>49559</v>
      </c>
      <c r="I27" s="16">
        <v>49594</v>
      </c>
      <c r="J27" s="16">
        <v>49615</v>
      </c>
      <c r="K27" s="16">
        <v>49628</v>
      </c>
      <c r="L27" s="16">
        <v>49668</v>
      </c>
    </row>
    <row r="28" spans="1:12" ht="12.75">
      <c r="A28" s="16">
        <v>49675</v>
      </c>
      <c r="B28" s="16">
        <v>49730</v>
      </c>
      <c r="C28" s="16">
        <v>49731</v>
      </c>
      <c r="D28" s="16">
        <v>49776</v>
      </c>
      <c r="E28" s="16">
        <v>49786</v>
      </c>
      <c r="F28" s="16">
        <v>49796</v>
      </c>
      <c r="G28" s="16">
        <v>49838</v>
      </c>
      <c r="H28" s="16">
        <v>49925</v>
      </c>
      <c r="I28" s="16">
        <v>49960</v>
      </c>
      <c r="J28" s="16">
        <v>49981</v>
      </c>
      <c r="K28" s="16">
        <v>49994</v>
      </c>
      <c r="L28" s="16">
        <v>50034</v>
      </c>
    </row>
    <row r="29" spans="1:12" ht="12.75">
      <c r="A29" s="16">
        <v>50041</v>
      </c>
      <c r="B29" s="16">
        <v>50087</v>
      </c>
      <c r="C29" s="16">
        <v>50088</v>
      </c>
      <c r="D29" s="16">
        <v>50133</v>
      </c>
      <c r="E29" s="16">
        <v>50151</v>
      </c>
      <c r="F29" s="16">
        <v>50161</v>
      </c>
      <c r="G29" s="16">
        <v>50195</v>
      </c>
      <c r="H29" s="16">
        <v>50290</v>
      </c>
      <c r="I29" s="16">
        <v>50325</v>
      </c>
      <c r="J29" s="16">
        <v>50346</v>
      </c>
      <c r="K29" s="16">
        <v>50359</v>
      </c>
      <c r="L29" s="16">
        <v>50399</v>
      </c>
    </row>
    <row r="30" spans="1:12" ht="12.75">
      <c r="A30" s="16">
        <v>50406</v>
      </c>
      <c r="B30" s="16">
        <v>50472</v>
      </c>
      <c r="C30" s="16">
        <v>50473</v>
      </c>
      <c r="D30" s="16">
        <v>50516</v>
      </c>
      <c r="E30" s="16">
        <v>50518</v>
      </c>
      <c r="F30" s="16">
        <v>50526</v>
      </c>
      <c r="G30" s="16">
        <v>50580</v>
      </c>
      <c r="H30" s="16">
        <v>50655</v>
      </c>
      <c r="I30" s="16">
        <v>50690</v>
      </c>
      <c r="J30" s="16">
        <v>50711</v>
      </c>
      <c r="K30" s="16">
        <v>50724</v>
      </c>
      <c r="L30" s="16">
        <v>50764</v>
      </c>
    </row>
    <row r="31" spans="1:12" ht="12.75">
      <c r="A31" s="16">
        <v>50771</v>
      </c>
      <c r="B31" s="16">
        <v>50822</v>
      </c>
      <c r="C31" s="16">
        <v>50823</v>
      </c>
      <c r="D31" s="16">
        <v>50868</v>
      </c>
      <c r="E31" s="16">
        <v>50881</v>
      </c>
      <c r="F31" s="16">
        <v>50891</v>
      </c>
      <c r="G31" s="16">
        <v>50930</v>
      </c>
      <c r="H31" s="16">
        <v>51020</v>
      </c>
      <c r="I31" s="16">
        <v>51055</v>
      </c>
      <c r="J31" s="16">
        <v>51076</v>
      </c>
      <c r="K31" s="16">
        <v>51089</v>
      </c>
      <c r="L31" s="16">
        <v>51129</v>
      </c>
    </row>
    <row r="32" spans="1:12" ht="12.75">
      <c r="A32" s="16">
        <v>51136</v>
      </c>
      <c r="B32" s="16">
        <v>51179</v>
      </c>
      <c r="C32" s="16">
        <v>51180</v>
      </c>
      <c r="D32" s="16">
        <v>51225</v>
      </c>
      <c r="E32" s="16">
        <v>51247</v>
      </c>
      <c r="F32" s="16">
        <v>51257</v>
      </c>
      <c r="G32" s="16">
        <v>51287</v>
      </c>
      <c r="H32" s="16">
        <v>51386</v>
      </c>
      <c r="I32" s="16">
        <v>51421</v>
      </c>
      <c r="J32" s="16">
        <v>51442</v>
      </c>
      <c r="K32" s="16">
        <v>51455</v>
      </c>
      <c r="L32" s="16">
        <v>51495</v>
      </c>
    </row>
    <row r="33" spans="1:12" ht="12.75">
      <c r="A33" s="16">
        <v>51502</v>
      </c>
      <c r="B33" s="16">
        <v>51564</v>
      </c>
      <c r="C33" s="16">
        <v>51565</v>
      </c>
      <c r="D33" s="16">
        <v>51610</v>
      </c>
      <c r="E33" s="16">
        <v>51612</v>
      </c>
      <c r="F33" s="16">
        <v>51622</v>
      </c>
      <c r="G33" s="16">
        <v>51672</v>
      </c>
      <c r="H33" s="16">
        <v>51751</v>
      </c>
      <c r="I33" s="16">
        <v>51786</v>
      </c>
      <c r="J33" s="16">
        <v>51807</v>
      </c>
      <c r="K33" s="16">
        <v>51820</v>
      </c>
      <c r="L33" s="16">
        <v>51860</v>
      </c>
    </row>
    <row r="34" spans="1:12" ht="12.75">
      <c r="A34" s="16">
        <v>51867</v>
      </c>
      <c r="B34" s="16">
        <v>51914</v>
      </c>
      <c r="C34" s="16">
        <v>51915</v>
      </c>
      <c r="D34" s="16">
        <v>51960</v>
      </c>
      <c r="E34" s="16">
        <v>51977</v>
      </c>
      <c r="F34" s="16">
        <v>51987</v>
      </c>
      <c r="G34" s="16">
        <v>52022</v>
      </c>
      <c r="H34" s="16">
        <v>52116</v>
      </c>
      <c r="I34" s="16">
        <v>52151</v>
      </c>
      <c r="J34" s="16">
        <v>52172</v>
      </c>
      <c r="K34" s="16">
        <v>52185</v>
      </c>
      <c r="L34" s="16">
        <v>52225</v>
      </c>
    </row>
    <row r="35" spans="1:12" ht="12.75">
      <c r="A35" s="16">
        <v>52232</v>
      </c>
      <c r="B35" s="16">
        <v>52271</v>
      </c>
      <c r="C35" s="16">
        <v>52272</v>
      </c>
      <c r="D35" s="16">
        <v>52317</v>
      </c>
      <c r="E35" s="16">
        <v>52342</v>
      </c>
      <c r="F35" s="16">
        <v>52352</v>
      </c>
      <c r="G35" s="16">
        <v>52379</v>
      </c>
      <c r="H35" s="16">
        <v>52481</v>
      </c>
      <c r="I35" s="16">
        <v>52516</v>
      </c>
      <c r="J35" s="16">
        <v>52537</v>
      </c>
      <c r="K35" s="16">
        <v>52550</v>
      </c>
      <c r="L35" s="16">
        <v>52590</v>
      </c>
    </row>
    <row r="36" spans="1:12" ht="12.75">
      <c r="A36" s="16">
        <v>52597</v>
      </c>
      <c r="B36" s="16">
        <v>52656</v>
      </c>
      <c r="C36" s="16">
        <v>52657</v>
      </c>
      <c r="D36" s="16">
        <v>52702</v>
      </c>
      <c r="E36" s="16">
        <v>52708</v>
      </c>
      <c r="F36" s="16">
        <v>52718</v>
      </c>
      <c r="G36" s="16">
        <v>52764</v>
      </c>
      <c r="H36" s="16">
        <v>52847</v>
      </c>
      <c r="I36" s="16">
        <v>52882</v>
      </c>
      <c r="J36" s="16">
        <v>52903</v>
      </c>
      <c r="K36" s="16">
        <v>52916</v>
      </c>
      <c r="L36" s="16">
        <v>52956</v>
      </c>
    </row>
    <row r="37" spans="1:12" ht="12.75">
      <c r="A37" s="16">
        <v>52963</v>
      </c>
      <c r="B37" s="16">
        <v>53013</v>
      </c>
      <c r="C37" s="16">
        <v>53014</v>
      </c>
      <c r="D37" s="16">
        <v>53059</v>
      </c>
      <c r="E37" s="16">
        <v>53073</v>
      </c>
      <c r="F37" s="16">
        <v>53083</v>
      </c>
      <c r="G37" s="16">
        <v>53121</v>
      </c>
      <c r="H37" s="16">
        <v>53212</v>
      </c>
      <c r="I37" s="16">
        <v>53247</v>
      </c>
      <c r="J37" s="16">
        <v>53268</v>
      </c>
      <c r="K37" s="16">
        <v>53281</v>
      </c>
      <c r="L37" s="16">
        <v>53321</v>
      </c>
    </row>
    <row r="38" spans="1:12" ht="12.75">
      <c r="A38" s="16">
        <v>53328</v>
      </c>
      <c r="B38" s="16">
        <v>53363</v>
      </c>
      <c r="C38" s="16">
        <v>53364</v>
      </c>
      <c r="D38" s="16">
        <v>53409</v>
      </c>
      <c r="E38" s="16">
        <v>53438</v>
      </c>
      <c r="F38" s="16">
        <v>53448</v>
      </c>
      <c r="G38" s="16">
        <v>53471</v>
      </c>
      <c r="H38" s="16">
        <v>53577</v>
      </c>
      <c r="I38" s="16">
        <v>53612</v>
      </c>
      <c r="J38" s="16">
        <v>53633</v>
      </c>
      <c r="K38" s="16">
        <v>53646</v>
      </c>
      <c r="L38" s="16">
        <v>53686</v>
      </c>
    </row>
    <row r="39" spans="1:12" ht="12.75">
      <c r="A39" s="16">
        <v>53693</v>
      </c>
      <c r="B39" s="16">
        <v>53748</v>
      </c>
      <c r="C39" s="16">
        <v>53749</v>
      </c>
      <c r="D39" s="16">
        <v>53794</v>
      </c>
      <c r="E39" s="16">
        <v>53803</v>
      </c>
      <c r="F39" s="16">
        <v>53813</v>
      </c>
      <c r="G39" s="16">
        <v>53856</v>
      </c>
      <c r="H39" s="16">
        <v>53942</v>
      </c>
      <c r="I39" s="16">
        <v>53977</v>
      </c>
      <c r="J39" s="16">
        <v>53998</v>
      </c>
      <c r="K39" s="16">
        <v>54011</v>
      </c>
      <c r="L39" s="16">
        <v>54051</v>
      </c>
    </row>
    <row r="40" spans="1:12" ht="12.75">
      <c r="A40" s="16">
        <v>54058</v>
      </c>
      <c r="B40" s="16">
        <v>54105</v>
      </c>
      <c r="C40" s="16">
        <v>54106</v>
      </c>
      <c r="D40" s="16">
        <v>54151</v>
      </c>
      <c r="E40" s="16">
        <v>54169</v>
      </c>
      <c r="F40" s="16">
        <v>54179</v>
      </c>
      <c r="G40" s="16">
        <v>54213</v>
      </c>
      <c r="H40" s="16">
        <v>54308</v>
      </c>
      <c r="I40" s="16">
        <v>54343</v>
      </c>
      <c r="J40" s="16">
        <v>54364</v>
      </c>
      <c r="K40" s="16">
        <v>54377</v>
      </c>
      <c r="L40" s="16">
        <v>54417</v>
      </c>
    </row>
    <row r="41" spans="1:12" ht="12.75">
      <c r="A41" s="16">
        <v>54424</v>
      </c>
      <c r="B41" s="16">
        <v>54483</v>
      </c>
      <c r="C41" s="16">
        <v>54484</v>
      </c>
      <c r="D41" s="16">
        <v>54529</v>
      </c>
      <c r="E41" s="16">
        <v>54534</v>
      </c>
      <c r="F41" s="16">
        <v>54544</v>
      </c>
      <c r="G41" s="16">
        <v>54591</v>
      </c>
      <c r="H41" s="16">
        <v>54673</v>
      </c>
      <c r="I41" s="16">
        <v>54708</v>
      </c>
      <c r="J41" s="16">
        <v>54729</v>
      </c>
      <c r="K41" s="16">
        <v>54742</v>
      </c>
      <c r="L41" s="16">
        <v>54782</v>
      </c>
    </row>
    <row r="42" spans="1:12" ht="12.75">
      <c r="A42" s="16">
        <v>54789</v>
      </c>
      <c r="B42" s="16">
        <v>54840</v>
      </c>
      <c r="C42" s="16">
        <v>54841</v>
      </c>
      <c r="D42" s="16">
        <v>54886</v>
      </c>
      <c r="E42" s="16">
        <v>54899</v>
      </c>
      <c r="F42" s="16">
        <v>54909</v>
      </c>
      <c r="G42" s="16">
        <v>54948</v>
      </c>
      <c r="H42" s="16">
        <v>55038</v>
      </c>
      <c r="I42" s="16">
        <v>55073</v>
      </c>
      <c r="J42" s="16">
        <v>55094</v>
      </c>
      <c r="K42" s="16">
        <v>55107</v>
      </c>
      <c r="L42" s="16">
        <v>55147</v>
      </c>
    </row>
    <row r="43" spans="1:12" ht="12.75">
      <c r="A43" s="16">
        <v>55154</v>
      </c>
      <c r="B43" s="16">
        <v>55197</v>
      </c>
      <c r="C43" s="16">
        <v>55198</v>
      </c>
      <c r="D43" s="16">
        <v>55243</v>
      </c>
      <c r="E43" s="16">
        <v>55264</v>
      </c>
      <c r="F43" s="16">
        <v>55274</v>
      </c>
      <c r="G43" s="16">
        <v>55305</v>
      </c>
      <c r="H43" s="16">
        <v>55403</v>
      </c>
      <c r="I43" s="16">
        <v>55438</v>
      </c>
      <c r="J43" s="16">
        <v>55459</v>
      </c>
      <c r="K43" s="16">
        <v>55472</v>
      </c>
      <c r="L43" s="16">
        <v>55512</v>
      </c>
    </row>
    <row r="44" spans="1:12" ht="12.75">
      <c r="A44" s="16">
        <v>55519</v>
      </c>
      <c r="B44" s="16">
        <v>55582</v>
      </c>
      <c r="C44" s="16">
        <v>55583</v>
      </c>
      <c r="D44" s="16">
        <v>55628</v>
      </c>
      <c r="E44" s="16">
        <v>55630</v>
      </c>
      <c r="F44" s="16">
        <v>55640</v>
      </c>
      <c r="G44" s="16">
        <v>55690</v>
      </c>
      <c r="H44" s="16">
        <v>55769</v>
      </c>
      <c r="I44" s="16">
        <v>55804</v>
      </c>
      <c r="J44" s="16">
        <v>55825</v>
      </c>
      <c r="K44" s="16">
        <v>55838</v>
      </c>
      <c r="L44" s="16">
        <v>55878</v>
      </c>
    </row>
    <row r="45" spans="1:12" ht="12.75">
      <c r="A45" s="16">
        <v>55885</v>
      </c>
      <c r="B45" s="16">
        <v>55932</v>
      </c>
      <c r="C45" s="16">
        <v>55933</v>
      </c>
      <c r="D45" s="16">
        <v>55978</v>
      </c>
      <c r="E45" s="16">
        <v>55995</v>
      </c>
      <c r="F45" s="16">
        <v>56005</v>
      </c>
      <c r="G45" s="16">
        <v>56040</v>
      </c>
      <c r="H45" s="16">
        <v>56134</v>
      </c>
      <c r="I45" s="16">
        <v>56169</v>
      </c>
      <c r="J45" s="16">
        <v>56190</v>
      </c>
      <c r="K45" s="16">
        <v>56203</v>
      </c>
      <c r="L45" s="16">
        <v>56243</v>
      </c>
    </row>
    <row r="46" spans="1:12" ht="12.75">
      <c r="A46" s="16">
        <v>56250</v>
      </c>
      <c r="B46" s="16">
        <v>56289</v>
      </c>
      <c r="C46" s="16">
        <v>56290</v>
      </c>
      <c r="D46" s="16">
        <v>56335</v>
      </c>
      <c r="E46" s="16">
        <v>56360</v>
      </c>
      <c r="F46" s="16">
        <v>56370</v>
      </c>
      <c r="G46" s="16">
        <v>56397</v>
      </c>
      <c r="H46" s="16">
        <v>56499</v>
      </c>
      <c r="I46" s="16">
        <v>56534</v>
      </c>
      <c r="J46" s="16">
        <v>56555</v>
      </c>
      <c r="K46" s="16">
        <v>56568</v>
      </c>
      <c r="L46" s="16">
        <v>56608</v>
      </c>
    </row>
    <row r="47" spans="1:12" ht="12.75">
      <c r="A47" s="16">
        <v>56615</v>
      </c>
      <c r="B47" s="16">
        <v>56674</v>
      </c>
      <c r="C47" s="16">
        <v>56675</v>
      </c>
      <c r="D47" s="16">
        <v>56720</v>
      </c>
      <c r="E47" s="16">
        <v>56725</v>
      </c>
      <c r="F47" s="16">
        <v>56735</v>
      </c>
      <c r="G47" s="16">
        <v>56782</v>
      </c>
      <c r="H47" s="16">
        <v>56864</v>
      </c>
      <c r="I47" s="16">
        <v>56899</v>
      </c>
      <c r="J47" s="16">
        <v>56920</v>
      </c>
      <c r="K47" s="16">
        <v>56933</v>
      </c>
      <c r="L47" s="16">
        <v>56973</v>
      </c>
    </row>
    <row r="48" spans="1:12" ht="12.75">
      <c r="A48" s="16">
        <v>56980</v>
      </c>
      <c r="B48" s="16">
        <v>57024</v>
      </c>
      <c r="C48" s="16">
        <v>57025</v>
      </c>
      <c r="D48" s="16">
        <v>57070</v>
      </c>
      <c r="E48" s="16">
        <v>57091</v>
      </c>
      <c r="F48" s="16">
        <v>57101</v>
      </c>
      <c r="G48" s="16">
        <v>57132</v>
      </c>
      <c r="H48" s="16">
        <v>57230</v>
      </c>
      <c r="I48" s="16">
        <v>57265</v>
      </c>
      <c r="J48" s="16">
        <v>57286</v>
      </c>
      <c r="K48" s="16">
        <v>57299</v>
      </c>
      <c r="L48" s="16">
        <v>57339</v>
      </c>
    </row>
    <row r="49" spans="1:12" ht="12.75">
      <c r="A49" s="16">
        <v>57346</v>
      </c>
      <c r="B49" s="16">
        <v>57409</v>
      </c>
      <c r="C49" s="16">
        <v>57410</v>
      </c>
      <c r="D49" s="16">
        <v>57455</v>
      </c>
      <c r="E49" s="16">
        <v>57456</v>
      </c>
      <c r="F49" s="16">
        <v>57466</v>
      </c>
      <c r="G49" s="16">
        <v>57517</v>
      </c>
      <c r="H49" s="16">
        <v>57595</v>
      </c>
      <c r="I49" s="16">
        <v>57630</v>
      </c>
      <c r="J49" s="16">
        <v>57651</v>
      </c>
      <c r="K49" s="16">
        <v>57664</v>
      </c>
      <c r="L49" s="16">
        <v>57704</v>
      </c>
    </row>
    <row r="50" spans="1:12" ht="12.75">
      <c r="A50" s="16">
        <v>57711</v>
      </c>
      <c r="B50" s="16">
        <v>57766</v>
      </c>
      <c r="C50" s="16">
        <v>57767</v>
      </c>
      <c r="D50" s="16">
        <v>57812</v>
      </c>
      <c r="E50" s="16">
        <v>57821</v>
      </c>
      <c r="F50" s="16">
        <v>57831</v>
      </c>
      <c r="G50" s="16">
        <v>57874</v>
      </c>
      <c r="H50" s="16">
        <v>57960</v>
      </c>
      <c r="I50" s="16">
        <v>57995</v>
      </c>
      <c r="J50" s="16">
        <v>58016</v>
      </c>
      <c r="K50" s="16">
        <v>58029</v>
      </c>
      <c r="L50" s="16">
        <v>58069</v>
      </c>
    </row>
    <row r="51" spans="1:12" ht="12.75">
      <c r="A51" s="16">
        <v>58076</v>
      </c>
      <c r="B51" s="16">
        <v>58116</v>
      </c>
      <c r="C51" s="16">
        <v>58117</v>
      </c>
      <c r="D51" s="16">
        <v>58162</v>
      </c>
      <c r="E51" s="16">
        <v>58186</v>
      </c>
      <c r="F51" s="16">
        <v>58196</v>
      </c>
      <c r="G51" s="16">
        <v>58224</v>
      </c>
      <c r="H51" s="16">
        <v>58325</v>
      </c>
      <c r="I51" s="16">
        <v>58360</v>
      </c>
      <c r="J51" s="16">
        <v>58381</v>
      </c>
      <c r="K51" s="16">
        <v>58394</v>
      </c>
      <c r="L51" s="16">
        <v>58434</v>
      </c>
    </row>
    <row r="52" spans="1:12" ht="12.75">
      <c r="A52" s="16">
        <v>58441</v>
      </c>
      <c r="B52" s="16">
        <v>58501</v>
      </c>
      <c r="C52" s="16">
        <v>58502</v>
      </c>
      <c r="D52" s="16">
        <v>58547</v>
      </c>
      <c r="E52" s="16">
        <v>58552</v>
      </c>
      <c r="F52" s="16">
        <v>58562</v>
      </c>
      <c r="G52" s="16">
        <v>58609</v>
      </c>
      <c r="H52" s="16">
        <v>58691</v>
      </c>
      <c r="I52" s="16">
        <v>58726</v>
      </c>
      <c r="J52" s="16">
        <v>58747</v>
      </c>
      <c r="K52" s="16">
        <v>58760</v>
      </c>
      <c r="L52" s="16">
        <v>58800</v>
      </c>
    </row>
    <row r="53" spans="1:12" ht="12.75">
      <c r="A53" s="16">
        <v>58807</v>
      </c>
      <c r="B53" s="16">
        <v>58858</v>
      </c>
      <c r="C53" s="16">
        <v>58859</v>
      </c>
      <c r="D53" s="16">
        <v>58904</v>
      </c>
      <c r="E53" s="16">
        <v>58917</v>
      </c>
      <c r="F53" s="16">
        <v>58927</v>
      </c>
      <c r="G53" s="16">
        <v>58966</v>
      </c>
      <c r="H53" s="16">
        <v>59056</v>
      </c>
      <c r="I53" s="16">
        <v>59091</v>
      </c>
      <c r="J53" s="16">
        <v>59112</v>
      </c>
      <c r="K53" s="16">
        <v>59125</v>
      </c>
      <c r="L53" s="16">
        <v>59165</v>
      </c>
    </row>
    <row r="54" spans="1:12" ht="12.75">
      <c r="A54" s="16">
        <v>59172</v>
      </c>
      <c r="B54" s="16">
        <v>59208</v>
      </c>
      <c r="C54" s="16">
        <v>59209</v>
      </c>
      <c r="D54" s="16">
        <v>59254</v>
      </c>
      <c r="E54" s="16">
        <v>59282</v>
      </c>
      <c r="F54" s="16">
        <v>59292</v>
      </c>
      <c r="G54" s="16">
        <v>59316</v>
      </c>
      <c r="H54" s="16">
        <v>59421</v>
      </c>
      <c r="I54" s="16">
        <v>59456</v>
      </c>
      <c r="J54" s="16">
        <v>59477</v>
      </c>
      <c r="K54" s="16">
        <v>59490</v>
      </c>
      <c r="L54" s="16">
        <v>59530</v>
      </c>
    </row>
    <row r="55" spans="1:12" ht="12.75">
      <c r="A55" s="16">
        <v>59537</v>
      </c>
      <c r="B55" s="16">
        <v>59593</v>
      </c>
      <c r="C55" s="16">
        <v>59594</v>
      </c>
      <c r="D55" s="16">
        <v>59639</v>
      </c>
      <c r="E55" s="16">
        <v>59647</v>
      </c>
      <c r="F55" s="16">
        <v>59657</v>
      </c>
      <c r="G55" s="16">
        <v>59701</v>
      </c>
      <c r="H55" s="16">
        <v>59786</v>
      </c>
      <c r="I55" s="16">
        <v>59821</v>
      </c>
      <c r="J55" s="16">
        <v>59842</v>
      </c>
      <c r="K55" s="16">
        <v>59855</v>
      </c>
      <c r="L55" s="16">
        <v>59895</v>
      </c>
    </row>
    <row r="56" spans="1:12" ht="12.75">
      <c r="A56" s="16">
        <v>59902</v>
      </c>
      <c r="B56" s="16">
        <v>59950</v>
      </c>
      <c r="C56" s="16">
        <v>59951</v>
      </c>
      <c r="D56" s="16">
        <v>59996</v>
      </c>
      <c r="E56" s="16">
        <v>60013</v>
      </c>
      <c r="F56" s="16">
        <v>60023</v>
      </c>
      <c r="G56" s="16">
        <v>60058</v>
      </c>
      <c r="H56" s="16">
        <v>60152</v>
      </c>
      <c r="I56" s="16">
        <v>60187</v>
      </c>
      <c r="J56" s="16">
        <v>60208</v>
      </c>
      <c r="K56" s="16">
        <v>60221</v>
      </c>
      <c r="L56" s="16">
        <v>60261</v>
      </c>
    </row>
    <row r="57" spans="1:12" ht="12.75">
      <c r="A57" s="16">
        <v>60268</v>
      </c>
      <c r="B57" s="16">
        <v>60307</v>
      </c>
      <c r="C57" s="16">
        <v>60308</v>
      </c>
      <c r="D57" s="16">
        <v>60353</v>
      </c>
      <c r="E57" s="16">
        <v>60378</v>
      </c>
      <c r="F57" s="16">
        <v>60388</v>
      </c>
      <c r="G57" s="16">
        <v>60415</v>
      </c>
      <c r="H57" s="16">
        <v>60517</v>
      </c>
      <c r="I57" s="16">
        <v>60552</v>
      </c>
      <c r="J57" s="16">
        <v>60573</v>
      </c>
      <c r="K57" s="16">
        <v>60586</v>
      </c>
      <c r="L57" s="16">
        <v>60626</v>
      </c>
    </row>
    <row r="58" spans="1:12" ht="12.75">
      <c r="A58" s="16">
        <v>60633</v>
      </c>
      <c r="B58" s="16">
        <v>60685</v>
      </c>
      <c r="C58" s="16">
        <v>60686</v>
      </c>
      <c r="D58" s="16">
        <v>60731</v>
      </c>
      <c r="E58" s="16">
        <v>60743</v>
      </c>
      <c r="F58" s="16">
        <v>60753</v>
      </c>
      <c r="G58" s="16">
        <v>60793</v>
      </c>
      <c r="H58" s="16">
        <v>60882</v>
      </c>
      <c r="I58" s="16">
        <v>60917</v>
      </c>
      <c r="J58" s="16">
        <v>60938</v>
      </c>
      <c r="K58" s="16">
        <v>60951</v>
      </c>
      <c r="L58" s="16">
        <v>60991</v>
      </c>
    </row>
    <row r="59" spans="1:12" ht="12.75">
      <c r="A59" s="16">
        <v>60998</v>
      </c>
      <c r="B59" s="16">
        <v>61042</v>
      </c>
      <c r="C59" s="16">
        <v>61043</v>
      </c>
      <c r="D59" s="16">
        <v>61088</v>
      </c>
      <c r="E59" s="16">
        <v>61108</v>
      </c>
      <c r="F59" s="16">
        <v>61118</v>
      </c>
      <c r="G59" s="16">
        <v>61150</v>
      </c>
      <c r="H59" s="16">
        <v>61247</v>
      </c>
      <c r="I59" s="16">
        <v>61282</v>
      </c>
      <c r="J59" s="16">
        <v>61303</v>
      </c>
      <c r="K59" s="16">
        <v>61316</v>
      </c>
      <c r="L59" s="16">
        <v>61356</v>
      </c>
    </row>
    <row r="60" spans="1:12" ht="12.75">
      <c r="A60" s="16">
        <v>61363</v>
      </c>
      <c r="B60" s="16">
        <v>61427</v>
      </c>
      <c r="C60" s="16">
        <v>61428</v>
      </c>
      <c r="D60" s="16">
        <v>61473</v>
      </c>
      <c r="E60" s="16">
        <v>61474</v>
      </c>
      <c r="F60" s="16">
        <v>61484</v>
      </c>
      <c r="G60" s="16">
        <v>61535</v>
      </c>
      <c r="H60" s="16">
        <v>61613</v>
      </c>
      <c r="I60" s="16">
        <v>61648</v>
      </c>
      <c r="J60" s="16">
        <v>61669</v>
      </c>
      <c r="K60" s="16">
        <v>61682</v>
      </c>
      <c r="L60" s="16">
        <v>61722</v>
      </c>
    </row>
    <row r="61" spans="1:12" ht="12.75">
      <c r="A61" s="16">
        <v>61729</v>
      </c>
      <c r="B61" s="16">
        <v>61784</v>
      </c>
      <c r="C61" s="16">
        <v>61785</v>
      </c>
      <c r="D61" s="16">
        <v>61830</v>
      </c>
      <c r="E61" s="16">
        <v>61839</v>
      </c>
      <c r="F61" s="16">
        <v>61849</v>
      </c>
      <c r="G61" s="16">
        <v>61892</v>
      </c>
      <c r="H61" s="16">
        <v>61978</v>
      </c>
      <c r="I61" s="16">
        <v>62013</v>
      </c>
      <c r="J61" s="16">
        <v>62034</v>
      </c>
      <c r="K61" s="16">
        <v>62047</v>
      </c>
      <c r="L61" s="16">
        <v>62087</v>
      </c>
    </row>
    <row r="62" spans="1:12" ht="12.75">
      <c r="A62" s="16">
        <v>62094</v>
      </c>
      <c r="B62" s="16">
        <v>62134</v>
      </c>
      <c r="C62" s="16">
        <v>62135</v>
      </c>
      <c r="D62" s="16">
        <v>62180</v>
      </c>
      <c r="E62" s="16">
        <v>62204</v>
      </c>
      <c r="F62" s="16">
        <v>62214</v>
      </c>
      <c r="G62" s="16">
        <v>62242</v>
      </c>
      <c r="H62" s="16">
        <v>62343</v>
      </c>
      <c r="I62" s="16">
        <v>62378</v>
      </c>
      <c r="J62" s="16">
        <v>62399</v>
      </c>
      <c r="K62" s="16">
        <v>62412</v>
      </c>
      <c r="L62" s="16">
        <v>62452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O82"/>
  <sheetViews>
    <sheetView zoomScalePageLayoutView="0" workbookViewId="0" topLeftCell="B31">
      <selection activeCell="K66" sqref="K66"/>
    </sheetView>
  </sheetViews>
  <sheetFormatPr defaultColWidth="9.140625" defaultRowHeight="12.75"/>
  <cols>
    <col min="2" max="2" width="16.57421875" style="0" bestFit="1" customWidth="1"/>
    <col min="3" max="3" width="11.140625" style="0" customWidth="1"/>
    <col min="5" max="5" width="11.28125" style="0" bestFit="1" customWidth="1"/>
    <col min="6" max="6" width="12.00390625" style="0" customWidth="1"/>
    <col min="7" max="7" width="10.57421875" style="0" customWidth="1"/>
    <col min="8" max="8" width="11.28125" style="0" bestFit="1" customWidth="1"/>
    <col min="9" max="9" width="12.00390625" style="0" customWidth="1"/>
    <col min="10" max="10" width="11.57421875" style="0" bestFit="1" customWidth="1"/>
    <col min="11" max="11" width="13.421875" style="0" bestFit="1" customWidth="1"/>
    <col min="12" max="12" width="11.28125" style="0" bestFit="1" customWidth="1"/>
    <col min="13" max="13" width="15.140625" style="0" bestFit="1" customWidth="1"/>
    <col min="15" max="15" width="13.421875" style="0" bestFit="1" customWidth="1"/>
    <col min="16" max="16" width="11.7109375" style="0" bestFit="1" customWidth="1"/>
  </cols>
  <sheetData>
    <row r="1" spans="1:12" ht="12.75">
      <c r="A1" s="99" t="s">
        <v>65</v>
      </c>
      <c r="B1" s="277"/>
      <c r="C1" s="277"/>
      <c r="D1" s="277"/>
      <c r="E1" s="277"/>
      <c r="F1" s="277"/>
      <c r="G1" s="278"/>
      <c r="H1" s="200"/>
      <c r="I1" s="202" t="s">
        <v>155</v>
      </c>
      <c r="J1" s="203">
        <f>E5</f>
        <v>41206</v>
      </c>
      <c r="K1" s="204">
        <f>VLOOKUP(E5,DADOS!A105:M248,13,FALSE)</f>
        <v>1.0376690620515843</v>
      </c>
      <c r="L1" s="225" t="s">
        <v>157</v>
      </c>
    </row>
    <row r="2" spans="1:13" ht="13.5" thickBot="1">
      <c r="A2" s="105"/>
      <c r="B2" s="106"/>
      <c r="C2" s="106"/>
      <c r="D2" s="107"/>
      <c r="E2" s="107"/>
      <c r="F2" s="107"/>
      <c r="G2" s="104"/>
      <c r="H2" s="104"/>
      <c r="I2" s="205" t="s">
        <v>156</v>
      </c>
      <c r="J2" s="206">
        <v>41396</v>
      </c>
      <c r="K2" s="207">
        <f>VLOOKUP(H5,DADOS!A105:M248,13,FALSE)</f>
        <v>1.0728449498507855</v>
      </c>
      <c r="L2" s="208">
        <f>K2/K1</f>
        <v>1.0338989462879955</v>
      </c>
      <c r="M2" s="1"/>
    </row>
    <row r="3" spans="1:8" ht="12.75">
      <c r="A3" s="192"/>
      <c r="B3" s="279" t="s">
        <v>67</v>
      </c>
      <c r="C3" s="280"/>
      <c r="D3" s="281"/>
      <c r="E3" s="281"/>
      <c r="F3" s="282"/>
      <c r="G3" s="104"/>
      <c r="H3" s="104"/>
    </row>
    <row r="4" spans="1:13" ht="12.75" customHeight="1">
      <c r="A4" s="283" t="s">
        <v>68</v>
      </c>
      <c r="B4" s="284" t="s">
        <v>70</v>
      </c>
      <c r="C4" s="284" t="s">
        <v>158</v>
      </c>
      <c r="D4" s="285" t="s">
        <v>146</v>
      </c>
      <c r="E4" s="193" t="s">
        <v>153</v>
      </c>
      <c r="F4" s="285" t="s">
        <v>147</v>
      </c>
      <c r="G4" s="285" t="s">
        <v>148</v>
      </c>
      <c r="H4" s="193" t="s">
        <v>154</v>
      </c>
      <c r="I4" s="285" t="s">
        <v>149</v>
      </c>
      <c r="J4" s="285" t="s">
        <v>150</v>
      </c>
      <c r="K4" s="285" t="s">
        <v>151</v>
      </c>
      <c r="L4" s="285" t="s">
        <v>159</v>
      </c>
      <c r="M4" s="285" t="s">
        <v>152</v>
      </c>
    </row>
    <row r="5" spans="1:13" ht="12.75">
      <c r="A5" s="286"/>
      <c r="B5" s="286"/>
      <c r="C5" s="286"/>
      <c r="D5" s="286"/>
      <c r="E5" s="198">
        <v>41206</v>
      </c>
      <c r="F5" s="287"/>
      <c r="G5" s="286"/>
      <c r="H5" s="198">
        <v>41396</v>
      </c>
      <c r="I5" s="287"/>
      <c r="J5" s="287"/>
      <c r="K5" s="287"/>
      <c r="L5" s="287"/>
      <c r="M5" s="287"/>
    </row>
    <row r="6" spans="1:8" ht="13.5" thickBot="1">
      <c r="A6" s="111"/>
      <c r="B6" s="112"/>
      <c r="C6" s="112"/>
      <c r="D6" s="113"/>
      <c r="E6" s="113"/>
      <c r="F6" s="114"/>
      <c r="G6" s="115"/>
      <c r="H6" s="115"/>
    </row>
    <row r="7" spans="1:15" ht="12.75">
      <c r="A7" s="273">
        <v>100000</v>
      </c>
      <c r="B7" s="274">
        <v>41456</v>
      </c>
      <c r="C7" s="210">
        <v>100</v>
      </c>
      <c r="D7" s="275">
        <v>7.153</v>
      </c>
      <c r="E7" s="211">
        <v>169</v>
      </c>
      <c r="F7" s="212">
        <f aca="true" t="shared" si="0" ref="F7:F15">TRUNC(1000/(1+D7/100)^(E7/252),6)</f>
        <v>954.724451</v>
      </c>
      <c r="G7" s="275">
        <v>7.5512</v>
      </c>
      <c r="H7" s="211">
        <v>41</v>
      </c>
      <c r="I7" s="212">
        <f aca="true" t="shared" si="1" ref="I7:I15">TRUNC(1000/(1+G7/100)^(H7/252),6)</f>
        <v>988.225934</v>
      </c>
      <c r="J7" s="213">
        <f aca="true" t="shared" si="2" ref="J7:J15">((I7/F7)^(252/(E7-H7))-1)*100</f>
        <v>7.025763462412016</v>
      </c>
      <c r="K7" s="214">
        <f>C7*$K$2*F7/$K$1</f>
        <v>98708.8603884285</v>
      </c>
      <c r="L7" s="214">
        <f>C7*I7</f>
        <v>98822.59340000001</v>
      </c>
      <c r="M7" s="215">
        <f aca="true" t="shared" si="3" ref="M7:M15">L7-K7</f>
        <v>113.73301157151582</v>
      </c>
      <c r="O7" s="295"/>
    </row>
    <row r="8" spans="1:15" ht="12.75">
      <c r="A8" s="273">
        <v>100000</v>
      </c>
      <c r="B8" s="274">
        <v>41548</v>
      </c>
      <c r="C8" s="201">
        <v>100</v>
      </c>
      <c r="D8" s="275">
        <v>7.2449</v>
      </c>
      <c r="E8" s="199">
        <v>235</v>
      </c>
      <c r="F8" s="114">
        <f t="shared" si="0"/>
        <v>936.855411</v>
      </c>
      <c r="G8" s="275">
        <v>7.8028</v>
      </c>
      <c r="H8" s="199">
        <v>107</v>
      </c>
      <c r="I8" s="114">
        <f t="shared" si="1"/>
        <v>968.601597</v>
      </c>
      <c r="J8" s="197">
        <f t="shared" si="2"/>
        <v>6.780746690606243</v>
      </c>
      <c r="K8" s="217">
        <f>C8*$K$2*F8/$K$1</f>
        <v>96861.3822257107</v>
      </c>
      <c r="L8" s="217">
        <f>C7*I8</f>
        <v>96860.1597</v>
      </c>
      <c r="M8" s="218">
        <f t="shared" si="3"/>
        <v>-1.2225257106911158</v>
      </c>
      <c r="N8" s="115"/>
      <c r="O8" s="295"/>
    </row>
    <row r="9" spans="1:15" ht="12.75">
      <c r="A9" s="273">
        <v>100000</v>
      </c>
      <c r="B9" s="274">
        <v>41640</v>
      </c>
      <c r="C9" s="201">
        <v>100</v>
      </c>
      <c r="D9" s="275">
        <v>7.3972</v>
      </c>
      <c r="E9" s="199">
        <v>298</v>
      </c>
      <c r="F9" s="114">
        <f t="shared" si="0"/>
        <v>919.072129</v>
      </c>
      <c r="G9" s="275">
        <v>7.9552</v>
      </c>
      <c r="H9" s="199">
        <v>170</v>
      </c>
      <c r="I9" s="114">
        <f t="shared" si="1"/>
        <v>949.67233</v>
      </c>
      <c r="J9" s="197">
        <f t="shared" si="2"/>
        <v>6.660562683107596</v>
      </c>
      <c r="K9" s="217">
        <f aca="true" t="shared" si="4" ref="K9:K15">C9*$K$2*F9/$K$1</f>
        <v>95022.77057357646</v>
      </c>
      <c r="L9" s="217">
        <f aca="true" t="shared" si="5" ref="L9:L15">C8*I9</f>
        <v>94967.233</v>
      </c>
      <c r="M9" s="218">
        <f t="shared" si="3"/>
        <v>-55.537573576468276</v>
      </c>
      <c r="N9" s="115"/>
      <c r="O9" s="295"/>
    </row>
    <row r="10" spans="1:15" ht="12.75">
      <c r="A10" s="273">
        <v>100000</v>
      </c>
      <c r="B10" s="274">
        <v>41730</v>
      </c>
      <c r="C10" s="201">
        <v>100</v>
      </c>
      <c r="D10" s="275">
        <v>7.539</v>
      </c>
      <c r="E10" s="199">
        <v>360</v>
      </c>
      <c r="F10" s="114">
        <f t="shared" si="0"/>
        <v>901.375445</v>
      </c>
      <c r="G10" s="275">
        <v>8.0403</v>
      </c>
      <c r="H10" s="199">
        <v>232</v>
      </c>
      <c r="I10" s="114">
        <f t="shared" si="1"/>
        <v>931.278886</v>
      </c>
      <c r="J10" s="197">
        <f t="shared" si="2"/>
        <v>6.636315014308436</v>
      </c>
      <c r="K10" s="217">
        <f t="shared" si="4"/>
        <v>93193.1122795373</v>
      </c>
      <c r="L10" s="217">
        <f t="shared" si="5"/>
        <v>93127.8886</v>
      </c>
      <c r="M10" s="218">
        <f t="shared" si="3"/>
        <v>-65.22367953728826</v>
      </c>
      <c r="N10" s="115"/>
      <c r="O10" s="295"/>
    </row>
    <row r="11" spans="1:15" ht="12.75">
      <c r="A11" s="273">
        <v>100000</v>
      </c>
      <c r="B11" s="274">
        <v>41821</v>
      </c>
      <c r="C11" s="201">
        <v>100</v>
      </c>
      <c r="D11" s="275">
        <v>7.6609</v>
      </c>
      <c r="E11" s="199">
        <v>421</v>
      </c>
      <c r="F11" s="114">
        <f t="shared" si="0"/>
        <v>883.980684</v>
      </c>
      <c r="G11" s="275">
        <v>8.1312</v>
      </c>
      <c r="H11" s="199">
        <v>293</v>
      </c>
      <c r="I11" s="114">
        <f t="shared" si="1"/>
        <v>913.114417</v>
      </c>
      <c r="J11" s="197">
        <f t="shared" si="2"/>
        <v>6.592039840970543</v>
      </c>
      <c r="K11" s="217">
        <f t="shared" si="4"/>
        <v>91394.66977265415</v>
      </c>
      <c r="L11" s="217">
        <f t="shared" si="5"/>
        <v>91311.4417</v>
      </c>
      <c r="M11" s="218">
        <f t="shared" si="3"/>
        <v>-83.22807265415031</v>
      </c>
      <c r="N11" s="115"/>
      <c r="O11" s="295"/>
    </row>
    <row r="12" spans="1:15" ht="12.75">
      <c r="A12" s="273">
        <v>100000</v>
      </c>
      <c r="B12" s="274">
        <v>42005</v>
      </c>
      <c r="C12" s="201">
        <v>100</v>
      </c>
      <c r="D12" s="275">
        <v>7.8987</v>
      </c>
      <c r="E12" s="199">
        <v>551</v>
      </c>
      <c r="F12" s="114">
        <f t="shared" si="0"/>
        <v>846.856431</v>
      </c>
      <c r="G12" s="275">
        <v>8.3171</v>
      </c>
      <c r="H12" s="199">
        <v>423</v>
      </c>
      <c r="I12" s="114">
        <f t="shared" si="1"/>
        <v>874.497489</v>
      </c>
      <c r="J12" s="197">
        <f t="shared" si="2"/>
        <v>6.527480245595885</v>
      </c>
      <c r="K12" s="217">
        <f t="shared" si="4"/>
        <v>87556.39716681125</v>
      </c>
      <c r="L12" s="217">
        <f t="shared" si="5"/>
        <v>87449.74889999999</v>
      </c>
      <c r="M12" s="218">
        <f t="shared" si="3"/>
        <v>-106.64826681125851</v>
      </c>
      <c r="N12" s="115"/>
      <c r="O12" s="295"/>
    </row>
    <row r="13" spans="1:15" ht="12.75">
      <c r="A13" s="273">
        <v>100000</v>
      </c>
      <c r="B13" s="274">
        <v>42095</v>
      </c>
      <c r="C13" s="201">
        <v>100</v>
      </c>
      <c r="D13" s="275">
        <v>8.0291</v>
      </c>
      <c r="E13" s="199">
        <v>613</v>
      </c>
      <c r="F13" s="114">
        <f t="shared" si="0"/>
        <v>828.725639</v>
      </c>
      <c r="G13" s="275">
        <v>8.4246</v>
      </c>
      <c r="H13" s="199">
        <v>485</v>
      </c>
      <c r="I13" s="114">
        <f t="shared" si="1"/>
        <v>855.840569</v>
      </c>
      <c r="J13" s="197">
        <f t="shared" si="2"/>
        <v>6.543570728256798</v>
      </c>
      <c r="K13" s="217">
        <f t="shared" si="4"/>
        <v>85681.85649239457</v>
      </c>
      <c r="L13" s="217">
        <f t="shared" si="5"/>
        <v>85584.0569</v>
      </c>
      <c r="M13" s="218">
        <f t="shared" si="3"/>
        <v>-97.79959239457094</v>
      </c>
      <c r="N13" s="115"/>
      <c r="O13" s="295"/>
    </row>
    <row r="14" spans="1:15" ht="12.75">
      <c r="A14" s="273">
        <v>100000</v>
      </c>
      <c r="B14" s="274">
        <v>42370</v>
      </c>
      <c r="C14" s="201">
        <v>100</v>
      </c>
      <c r="D14" s="275">
        <v>8.3086</v>
      </c>
      <c r="E14" s="199">
        <v>801</v>
      </c>
      <c r="F14" s="114">
        <f t="shared" si="0"/>
        <v>775.927889</v>
      </c>
      <c r="G14" s="275">
        <v>8.6699</v>
      </c>
      <c r="H14" s="199">
        <v>673</v>
      </c>
      <c r="I14" s="114">
        <f t="shared" si="1"/>
        <v>800.876092</v>
      </c>
      <c r="J14" s="197">
        <f t="shared" si="2"/>
        <v>6.428621132618173</v>
      </c>
      <c r="K14" s="217">
        <f t="shared" si="4"/>
        <v>80223.10268325688</v>
      </c>
      <c r="L14" s="217">
        <f t="shared" si="5"/>
        <v>80087.60919999999</v>
      </c>
      <c r="M14" s="218">
        <f t="shared" si="3"/>
        <v>-135.49348325688334</v>
      </c>
      <c r="N14" s="115"/>
      <c r="O14" s="295"/>
    </row>
    <row r="15" spans="1:15" ht="12.75">
      <c r="A15" s="273">
        <v>100000</v>
      </c>
      <c r="B15" s="274">
        <v>42552</v>
      </c>
      <c r="C15" s="201">
        <v>100</v>
      </c>
      <c r="D15" s="276">
        <v>8.4907</v>
      </c>
      <c r="E15" s="199">
        <v>926</v>
      </c>
      <c r="F15" s="114">
        <f t="shared" si="0"/>
        <v>741.219037</v>
      </c>
      <c r="G15" s="275">
        <v>8.7797</v>
      </c>
      <c r="H15" s="199">
        <v>798</v>
      </c>
      <c r="I15" s="114">
        <f t="shared" si="1"/>
        <v>766.064117</v>
      </c>
      <c r="J15" s="197">
        <f t="shared" si="2"/>
        <v>6.706200344663427</v>
      </c>
      <c r="K15" s="217">
        <f t="shared" si="4"/>
        <v>76634.55813229026</v>
      </c>
      <c r="L15" s="217">
        <f t="shared" si="5"/>
        <v>76606.4117</v>
      </c>
      <c r="M15" s="218">
        <f t="shared" si="3"/>
        <v>-28.146432290261146</v>
      </c>
      <c r="N15" s="115"/>
      <c r="O15" s="295"/>
    </row>
    <row r="16" spans="1:6" ht="12.75">
      <c r="A16" s="123"/>
      <c r="B16" s="124"/>
      <c r="C16" s="124"/>
      <c r="D16" s="126"/>
      <c r="E16" s="126"/>
      <c r="F16" s="125"/>
    </row>
    <row r="17" spans="1:6" ht="12.75">
      <c r="A17" s="192" t="s">
        <v>87</v>
      </c>
      <c r="B17" s="279" t="s">
        <v>88</v>
      </c>
      <c r="C17" s="280"/>
      <c r="D17" s="281"/>
      <c r="E17" s="281"/>
      <c r="F17" s="282"/>
    </row>
    <row r="18" spans="1:13" ht="12.75" customHeight="1">
      <c r="A18" s="283" t="s">
        <v>68</v>
      </c>
      <c r="B18" s="284" t="s">
        <v>70</v>
      </c>
      <c r="C18" s="284" t="s">
        <v>158</v>
      </c>
      <c r="D18" s="285" t="s">
        <v>146</v>
      </c>
      <c r="E18" s="193" t="s">
        <v>153</v>
      </c>
      <c r="F18" s="285" t="s">
        <v>147</v>
      </c>
      <c r="G18" s="285" t="s">
        <v>148</v>
      </c>
      <c r="H18" s="193" t="s">
        <v>154</v>
      </c>
      <c r="I18" s="285" t="s">
        <v>149</v>
      </c>
      <c r="J18" s="285" t="s">
        <v>150</v>
      </c>
      <c r="K18" s="285" t="s">
        <v>151</v>
      </c>
      <c r="L18" s="285" t="s">
        <v>159</v>
      </c>
      <c r="M18" s="285" t="s">
        <v>152</v>
      </c>
    </row>
    <row r="19" spans="1:13" ht="13.5" thickBot="1">
      <c r="A19" s="288"/>
      <c r="B19" s="288"/>
      <c r="C19" s="288"/>
      <c r="D19" s="288"/>
      <c r="E19" s="198">
        <f>E5</f>
        <v>41206</v>
      </c>
      <c r="F19" s="289"/>
      <c r="G19" s="288"/>
      <c r="H19" s="198">
        <f>H5</f>
        <v>41396</v>
      </c>
      <c r="I19" s="289"/>
      <c r="J19" s="289"/>
      <c r="K19" s="289"/>
      <c r="L19" s="289"/>
      <c r="M19" s="289"/>
    </row>
    <row r="20" spans="1:14" ht="12.75">
      <c r="A20" s="216">
        <v>770100</v>
      </c>
      <c r="B20" s="112">
        <v>42917</v>
      </c>
      <c r="C20" s="201">
        <v>100</v>
      </c>
      <c r="D20" s="275">
        <v>3.1051</v>
      </c>
      <c r="E20" s="199">
        <v>1176</v>
      </c>
      <c r="F20" s="293">
        <v>3151.171472</v>
      </c>
      <c r="G20" s="275">
        <v>3.1472</v>
      </c>
      <c r="H20" s="199">
        <v>1048</v>
      </c>
      <c r="I20" s="293">
        <v>3163.10394</v>
      </c>
      <c r="J20" s="197">
        <f>((I20/F20)^(252/(E20-H20))-1)*100</f>
        <v>0.7468693255893832</v>
      </c>
      <c r="K20" s="217">
        <f>C20*$K$2*F20/K1</f>
        <v>325799.28644735913</v>
      </c>
      <c r="L20" s="217">
        <f>$C$7*I20</f>
        <v>316310.394</v>
      </c>
      <c r="M20" s="218">
        <f>L20-K20</f>
        <v>-9488.892447359161</v>
      </c>
      <c r="N20" s="115"/>
    </row>
    <row r="21" spans="1:14" ht="12.75">
      <c r="A21" s="216">
        <v>770100</v>
      </c>
      <c r="B21" s="112">
        <v>44287</v>
      </c>
      <c r="C21" s="201">
        <v>100</v>
      </c>
      <c r="D21" s="275">
        <v>3.5397</v>
      </c>
      <c r="E21" s="199">
        <v>2117</v>
      </c>
      <c r="F21" s="293">
        <v>3254.565719</v>
      </c>
      <c r="G21" s="275">
        <v>3.6207</v>
      </c>
      <c r="H21" s="199">
        <v>1989</v>
      </c>
      <c r="I21" s="293">
        <v>3265.665583</v>
      </c>
      <c r="J21" s="197">
        <f>((I21/F21)^(252/(E21-H21))-1)*100</f>
        <v>0.6725615172709754</v>
      </c>
      <c r="K21" s="217">
        <f>C21*$K$2*F21/K1</f>
        <v>336489.2067499133</v>
      </c>
      <c r="L21" s="217">
        <f>$C$7*I21</f>
        <v>326566.5583</v>
      </c>
      <c r="M21" s="218">
        <f>L21-K21</f>
        <v>-9922.648449913308</v>
      </c>
      <c r="N21" s="115"/>
    </row>
    <row r="22" spans="1:14" ht="13.5" thickBot="1">
      <c r="A22" s="219">
        <v>770100</v>
      </c>
      <c r="B22" s="220">
        <v>47849</v>
      </c>
      <c r="C22" s="221">
        <v>100</v>
      </c>
      <c r="D22" s="276">
        <v>3.9081</v>
      </c>
      <c r="E22" s="222">
        <v>4566</v>
      </c>
      <c r="F22" s="294">
        <v>5657.831252</v>
      </c>
      <c r="G22" s="276">
        <v>4.0471</v>
      </c>
      <c r="H22" s="222">
        <v>4438</v>
      </c>
      <c r="I22" s="294">
        <v>5617.900733</v>
      </c>
      <c r="J22" s="197">
        <f>((I22/F22)^(252/(E22-H22))-1)*100</f>
        <v>-1.384708133949597</v>
      </c>
      <c r="K22" s="223">
        <f>C22*$K$2*F22/K1</f>
        <v>584962.576971809</v>
      </c>
      <c r="L22" s="223">
        <f>$C$7*I22</f>
        <v>561790.0733</v>
      </c>
      <c r="M22" s="224">
        <f>L22-K22</f>
        <v>-23172.503671808983</v>
      </c>
      <c r="N22" s="115"/>
    </row>
    <row r="23" spans="1:6" ht="12.75">
      <c r="A23" s="123"/>
      <c r="B23" s="124"/>
      <c r="C23" s="124"/>
      <c r="D23" s="126"/>
      <c r="E23" s="126"/>
      <c r="F23" s="125"/>
    </row>
    <row r="24" spans="1:6" ht="12.75">
      <c r="A24" s="192"/>
      <c r="B24" s="279" t="s">
        <v>84</v>
      </c>
      <c r="C24" s="280"/>
      <c r="D24" s="281"/>
      <c r="E24" s="281"/>
      <c r="F24" s="282"/>
    </row>
    <row r="25" spans="1:13" ht="12.75" customHeight="1">
      <c r="A25" s="283" t="s">
        <v>68</v>
      </c>
      <c r="B25" s="284" t="s">
        <v>70</v>
      </c>
      <c r="C25" s="284" t="s">
        <v>158</v>
      </c>
      <c r="D25" s="285" t="s">
        <v>146</v>
      </c>
      <c r="E25" s="193" t="s">
        <v>153</v>
      </c>
      <c r="F25" s="285" t="s">
        <v>147</v>
      </c>
      <c r="G25" s="285" t="s">
        <v>148</v>
      </c>
      <c r="H25" s="193" t="s">
        <v>154</v>
      </c>
      <c r="I25" s="285" t="s">
        <v>149</v>
      </c>
      <c r="J25" s="285" t="s">
        <v>150</v>
      </c>
      <c r="K25" s="285" t="s">
        <v>151</v>
      </c>
      <c r="L25" s="285" t="s">
        <v>159</v>
      </c>
      <c r="M25" s="285" t="s">
        <v>152</v>
      </c>
    </row>
    <row r="26" spans="1:13" ht="13.5" thickBot="1">
      <c r="A26" s="286"/>
      <c r="B26" s="286"/>
      <c r="C26" s="286"/>
      <c r="D26" s="286"/>
      <c r="E26" s="227">
        <f>E19</f>
        <v>41206</v>
      </c>
      <c r="F26" s="289"/>
      <c r="G26" s="286"/>
      <c r="H26" s="227">
        <f>H19</f>
        <v>41396</v>
      </c>
      <c r="I26" s="289"/>
      <c r="J26" s="287"/>
      <c r="K26" s="287"/>
      <c r="L26" s="287"/>
      <c r="M26" s="287"/>
    </row>
    <row r="27" spans="1:13" ht="13.5" thickBot="1">
      <c r="A27" s="226"/>
      <c r="B27" s="226"/>
      <c r="C27" s="226"/>
      <c r="E27" s="228" t="s">
        <v>85</v>
      </c>
      <c r="F27" s="229">
        <v>4415.414396</v>
      </c>
      <c r="H27" s="231" t="s">
        <v>85</v>
      </c>
      <c r="I27" s="232">
        <v>4542.241715</v>
      </c>
      <c r="J27" s="230"/>
      <c r="K27" s="230"/>
      <c r="L27" s="230"/>
      <c r="M27" s="230"/>
    </row>
    <row r="28" spans="1:13" ht="12.75">
      <c r="A28" s="209">
        <v>210100</v>
      </c>
      <c r="B28" s="112">
        <v>41432</v>
      </c>
      <c r="C28" s="210">
        <v>100</v>
      </c>
      <c r="D28" s="275">
        <v>-0.0094</v>
      </c>
      <c r="E28" s="211">
        <v>153</v>
      </c>
      <c r="F28" s="293">
        <v>5381.163382</v>
      </c>
      <c r="G28" s="275">
        <v>-0.0188</v>
      </c>
      <c r="H28" s="211">
        <v>25</v>
      </c>
      <c r="I28" s="293">
        <v>5573.236854</v>
      </c>
      <c r="J28" s="197">
        <f aca="true" t="shared" si="6" ref="J28:J38">((I28/F28)^(252/(E28-H28))-1)*100</f>
        <v>7.148640558384289</v>
      </c>
      <c r="K28" s="217">
        <f aca="true" t="shared" si="7" ref="K28:K38">C28*$K$2*F28/$K$1</f>
        <v>556357.9150453345</v>
      </c>
      <c r="L28" s="214">
        <f>$C$7*I28</f>
        <v>557323.6854</v>
      </c>
      <c r="M28" s="215">
        <f>L28-K28</f>
        <v>965.7703546654666</v>
      </c>
    </row>
    <row r="29" spans="1:14" ht="12.75">
      <c r="A29" s="216">
        <v>210100</v>
      </c>
      <c r="B29" s="112">
        <v>41524</v>
      </c>
      <c r="C29" s="201">
        <v>100</v>
      </c>
      <c r="D29" s="275">
        <v>-0.0093</v>
      </c>
      <c r="E29" s="199">
        <v>218</v>
      </c>
      <c r="F29" s="293">
        <v>5381.287142</v>
      </c>
      <c r="G29" s="275">
        <v>-0.021</v>
      </c>
      <c r="H29" s="199">
        <v>90</v>
      </c>
      <c r="I29" s="293">
        <v>5573.554523</v>
      </c>
      <c r="J29" s="197">
        <f t="shared" si="6"/>
        <v>7.1558128303875534</v>
      </c>
      <c r="K29" s="217">
        <f t="shared" si="7"/>
        <v>556370.7105786938</v>
      </c>
      <c r="L29" s="217">
        <f>$C$7*I29</f>
        <v>557355.4523</v>
      </c>
      <c r="M29" s="218">
        <f>L29-K29</f>
        <v>984.741721306229</v>
      </c>
      <c r="N29" s="115"/>
    </row>
    <row r="30" spans="1:14" ht="12.75">
      <c r="A30" s="216">
        <v>210100</v>
      </c>
      <c r="B30" s="112">
        <v>41626</v>
      </c>
      <c r="C30" s="201">
        <v>100</v>
      </c>
      <c r="D30" s="275">
        <v>-0.0093</v>
      </c>
      <c r="E30" s="199">
        <v>290</v>
      </c>
      <c r="F30" s="293">
        <v>5381.432425</v>
      </c>
      <c r="G30" s="275">
        <v>-0.0209</v>
      </c>
      <c r="H30" s="199">
        <v>162</v>
      </c>
      <c r="I30" s="293">
        <v>5573.883338</v>
      </c>
      <c r="J30" s="197">
        <f t="shared" si="6"/>
        <v>7.16256309417016</v>
      </c>
      <c r="K30" s="217">
        <f t="shared" si="7"/>
        <v>556385.7313727551</v>
      </c>
      <c r="L30" s="217">
        <f aca="true" t="shared" si="8" ref="L30:L38">$C$7*I30</f>
        <v>557388.3337999999</v>
      </c>
      <c r="M30" s="218">
        <f aca="true" t="shared" si="9" ref="M30:M38">L30-K30</f>
        <v>1002.6024272447685</v>
      </c>
      <c r="N30" s="115"/>
    </row>
    <row r="31" spans="1:14" ht="12.75">
      <c r="A31" s="216">
        <v>210100</v>
      </c>
      <c r="B31" s="112">
        <v>41705</v>
      </c>
      <c r="C31" s="201">
        <v>100</v>
      </c>
      <c r="D31" s="275">
        <v>-0.0096</v>
      </c>
      <c r="E31" s="199">
        <v>343</v>
      </c>
      <c r="F31" s="293">
        <v>5381.556185</v>
      </c>
      <c r="G31" s="275">
        <v>-0.0255</v>
      </c>
      <c r="H31" s="199">
        <v>215</v>
      </c>
      <c r="I31" s="293">
        <v>5574.345908</v>
      </c>
      <c r="J31" s="197">
        <f t="shared" si="6"/>
        <v>7.175219897411456</v>
      </c>
      <c r="K31" s="217">
        <f t="shared" si="7"/>
        <v>556398.5269061145</v>
      </c>
      <c r="L31" s="217">
        <f t="shared" si="8"/>
        <v>557434.5908</v>
      </c>
      <c r="M31" s="218">
        <f t="shared" si="9"/>
        <v>1036.0638938854681</v>
      </c>
      <c r="N31" s="115"/>
    </row>
    <row r="32" spans="1:14" ht="12.75">
      <c r="A32" s="216">
        <v>210100</v>
      </c>
      <c r="B32" s="112">
        <v>41889</v>
      </c>
      <c r="C32" s="201">
        <v>100</v>
      </c>
      <c r="D32" s="275">
        <v>-0.0097</v>
      </c>
      <c r="E32" s="199">
        <v>469</v>
      </c>
      <c r="F32" s="293">
        <v>5381.825228</v>
      </c>
      <c r="G32" s="275">
        <v>-0.0315</v>
      </c>
      <c r="H32" s="199">
        <v>341</v>
      </c>
      <c r="I32" s="293">
        <v>5575.516267</v>
      </c>
      <c r="J32" s="197">
        <f t="shared" si="6"/>
        <v>7.2089727832094885</v>
      </c>
      <c r="K32" s="217">
        <f t="shared" si="7"/>
        <v>556426.3432335351</v>
      </c>
      <c r="L32" s="217">
        <f t="shared" si="8"/>
        <v>557551.6267</v>
      </c>
      <c r="M32" s="218">
        <f t="shared" si="9"/>
        <v>1125.2834664649563</v>
      </c>
      <c r="N32" s="115"/>
    </row>
    <row r="33" spans="1:14" ht="12.75">
      <c r="A33" s="216">
        <v>210100</v>
      </c>
      <c r="B33" s="112">
        <v>42070</v>
      </c>
      <c r="C33" s="201">
        <v>100</v>
      </c>
      <c r="D33" s="275">
        <v>-0.0107</v>
      </c>
      <c r="E33" s="199">
        <v>595</v>
      </c>
      <c r="F33" s="293">
        <v>5382.21803</v>
      </c>
      <c r="G33" s="275">
        <v>-0.0358</v>
      </c>
      <c r="H33" s="199">
        <v>467</v>
      </c>
      <c r="I33" s="293">
        <v>5576.842673</v>
      </c>
      <c r="J33" s="197">
        <f t="shared" si="6"/>
        <v>7.243780522054544</v>
      </c>
      <c r="K33" s="217">
        <f t="shared" si="7"/>
        <v>556466.954990925</v>
      </c>
      <c r="L33" s="217">
        <f t="shared" si="8"/>
        <v>557684.2673000001</v>
      </c>
      <c r="M33" s="218">
        <f t="shared" si="9"/>
        <v>1217.3123090750305</v>
      </c>
      <c r="N33" s="115"/>
    </row>
    <row r="34" spans="1:14" ht="12.75">
      <c r="A34" s="216">
        <v>210100</v>
      </c>
      <c r="B34" s="112">
        <v>42254</v>
      </c>
      <c r="C34" s="201">
        <v>100</v>
      </c>
      <c r="D34" s="275">
        <v>-0.0108</v>
      </c>
      <c r="E34" s="199">
        <v>721</v>
      </c>
      <c r="F34" s="293">
        <v>5382.519358</v>
      </c>
      <c r="G34" s="275">
        <v>-0.0366</v>
      </c>
      <c r="H34" s="199">
        <v>593</v>
      </c>
      <c r="I34" s="293">
        <v>5577.946154</v>
      </c>
      <c r="J34" s="197">
        <f t="shared" si="6"/>
        <v>7.273737449370143</v>
      </c>
      <c r="K34" s="217">
        <f t="shared" si="7"/>
        <v>556498.1092610938</v>
      </c>
      <c r="L34" s="217">
        <f t="shared" si="8"/>
        <v>557794.6154</v>
      </c>
      <c r="M34" s="218">
        <f t="shared" si="9"/>
        <v>1296.506138906232</v>
      </c>
      <c r="N34" s="115"/>
    </row>
    <row r="35" spans="1:14" ht="12.75">
      <c r="A35" s="216">
        <v>210100</v>
      </c>
      <c r="B35" s="112">
        <v>42620</v>
      </c>
      <c r="C35" s="201">
        <v>100</v>
      </c>
      <c r="D35" s="275">
        <v>-0.0112</v>
      </c>
      <c r="E35" s="199">
        <v>973</v>
      </c>
      <c r="F35" s="293">
        <v>5383.186584</v>
      </c>
      <c r="G35" s="275">
        <v>-0.0382</v>
      </c>
      <c r="H35" s="199">
        <v>845</v>
      </c>
      <c r="I35" s="293">
        <v>5580.286872</v>
      </c>
      <c r="J35" s="197">
        <f t="shared" si="6"/>
        <v>7.33618406062897</v>
      </c>
      <c r="K35" s="217">
        <f t="shared" si="7"/>
        <v>556567.0936869273</v>
      </c>
      <c r="L35" s="217">
        <f t="shared" si="8"/>
        <v>558028.6871999999</v>
      </c>
      <c r="M35" s="218">
        <f t="shared" si="9"/>
        <v>1461.5935130725848</v>
      </c>
      <c r="N35" s="115"/>
    </row>
    <row r="36" spans="1:14" ht="12.75">
      <c r="A36" s="216">
        <v>210100</v>
      </c>
      <c r="B36" s="112">
        <v>42801</v>
      </c>
      <c r="C36" s="201">
        <v>100</v>
      </c>
      <c r="D36" s="275">
        <v>-0.012</v>
      </c>
      <c r="E36" s="199">
        <v>1097</v>
      </c>
      <c r="F36" s="293">
        <v>5383.665481</v>
      </c>
      <c r="G36" s="275">
        <v>-0.0411</v>
      </c>
      <c r="H36" s="199">
        <v>969</v>
      </c>
      <c r="I36" s="293">
        <v>5581.947666</v>
      </c>
      <c r="J36" s="197">
        <f t="shared" si="6"/>
        <v>7.380277473187191</v>
      </c>
      <c r="K36" s="217">
        <f t="shared" si="7"/>
        <v>556616.6067972954</v>
      </c>
      <c r="L36" s="217">
        <f t="shared" si="8"/>
        <v>558194.7666</v>
      </c>
      <c r="M36" s="218">
        <f t="shared" si="9"/>
        <v>1578.1598027045839</v>
      </c>
      <c r="N36" s="115"/>
    </row>
    <row r="37" spans="1:14" ht="12.75">
      <c r="A37" s="216">
        <v>210100</v>
      </c>
      <c r="B37" s="112">
        <v>42985</v>
      </c>
      <c r="C37" s="201">
        <v>100</v>
      </c>
      <c r="D37" s="275">
        <v>-0.0119</v>
      </c>
      <c r="E37" s="199">
        <v>1224</v>
      </c>
      <c r="F37" s="293">
        <v>5383.966809</v>
      </c>
      <c r="G37" s="275">
        <v>-0.0427</v>
      </c>
      <c r="H37" s="199">
        <v>1096</v>
      </c>
      <c r="I37" s="293">
        <v>5583.502571</v>
      </c>
      <c r="J37" s="197">
        <f t="shared" si="6"/>
        <v>7.427336278542884</v>
      </c>
      <c r="K37" s="217">
        <f t="shared" si="7"/>
        <v>556647.7610674641</v>
      </c>
      <c r="L37" s="217">
        <f t="shared" si="8"/>
        <v>558350.2571</v>
      </c>
      <c r="M37" s="218">
        <f t="shared" si="9"/>
        <v>1702.4960325359134</v>
      </c>
      <c r="N37" s="115"/>
    </row>
    <row r="38" spans="1:14" ht="12.75">
      <c r="A38" s="216">
        <v>210100</v>
      </c>
      <c r="B38" s="112">
        <v>43160</v>
      </c>
      <c r="C38" s="201">
        <v>100</v>
      </c>
      <c r="D38" s="276">
        <v>-0.0119</v>
      </c>
      <c r="E38" s="199">
        <v>1342</v>
      </c>
      <c r="F38" s="294">
        <v>5384.262756</v>
      </c>
      <c r="G38" s="275">
        <v>-0.0464</v>
      </c>
      <c r="H38" s="199">
        <v>1214</v>
      </c>
      <c r="I38" s="293">
        <v>5585.609217</v>
      </c>
      <c r="J38" s="197">
        <f t="shared" si="6"/>
        <v>7.495515203730085</v>
      </c>
      <c r="K38" s="217">
        <f t="shared" si="7"/>
        <v>556678.3589966099</v>
      </c>
      <c r="L38" s="217">
        <f t="shared" si="8"/>
        <v>558560.9217000001</v>
      </c>
      <c r="M38" s="218">
        <f t="shared" si="9"/>
        <v>1882.56270339014</v>
      </c>
      <c r="N38" s="115"/>
    </row>
    <row r="39" spans="1:6" ht="12.75">
      <c r="A39" s="123"/>
      <c r="B39" s="124"/>
      <c r="C39" s="124"/>
      <c r="D39" s="126"/>
      <c r="E39" s="126"/>
      <c r="F39" s="125"/>
    </row>
    <row r="40" spans="1:6" ht="12.75">
      <c r="A40" s="99" t="s">
        <v>65</v>
      </c>
      <c r="B40" s="100"/>
      <c r="C40" s="100"/>
      <c r="D40" s="101"/>
      <c r="E40" s="101"/>
      <c r="F40" s="101"/>
    </row>
    <row r="41" spans="1:6" ht="12.75">
      <c r="A41" s="105"/>
      <c r="B41" s="106"/>
      <c r="C41" s="106"/>
      <c r="D41" s="107"/>
      <c r="E41" s="107"/>
      <c r="F41" s="107"/>
    </row>
    <row r="42" spans="1:6" ht="12.75">
      <c r="A42" s="192" t="s">
        <v>80</v>
      </c>
      <c r="B42" s="279" t="s">
        <v>81</v>
      </c>
      <c r="C42" s="280"/>
      <c r="D42" s="281"/>
      <c r="E42" s="281"/>
      <c r="F42" s="282"/>
    </row>
    <row r="43" spans="1:13" ht="12.75" customHeight="1">
      <c r="A43" s="283" t="s">
        <v>68</v>
      </c>
      <c r="B43" s="284" t="s">
        <v>70</v>
      </c>
      <c r="C43" s="284" t="s">
        <v>158</v>
      </c>
      <c r="D43" s="285" t="s">
        <v>146</v>
      </c>
      <c r="E43" s="193" t="s">
        <v>153</v>
      </c>
      <c r="F43" s="285" t="s">
        <v>147</v>
      </c>
      <c r="G43" s="285" t="s">
        <v>148</v>
      </c>
      <c r="H43" s="193" t="s">
        <v>154</v>
      </c>
      <c r="I43" s="285" t="s">
        <v>149</v>
      </c>
      <c r="J43" s="285" t="s">
        <v>150</v>
      </c>
      <c r="K43" s="285" t="s">
        <v>151</v>
      </c>
      <c r="L43" s="285" t="s">
        <v>159</v>
      </c>
      <c r="M43" s="285" t="s">
        <v>152</v>
      </c>
    </row>
    <row r="44" spans="1:13" ht="13.5" thickBot="1">
      <c r="A44" s="288"/>
      <c r="B44" s="288"/>
      <c r="C44" s="288"/>
      <c r="D44" s="288"/>
      <c r="E44" s="227">
        <f>E26</f>
        <v>41206</v>
      </c>
      <c r="F44" s="289"/>
      <c r="G44" s="286"/>
      <c r="H44" s="227">
        <f>H26</f>
        <v>41396</v>
      </c>
      <c r="I44" s="289"/>
      <c r="J44" s="289"/>
      <c r="K44" s="289"/>
      <c r="L44" s="289"/>
      <c r="M44" s="289"/>
    </row>
    <row r="45" spans="1:13" ht="13.5" thickBot="1">
      <c r="A45" s="226"/>
      <c r="B45" s="226"/>
      <c r="C45" s="226"/>
      <c r="E45" s="228" t="s">
        <v>85</v>
      </c>
      <c r="F45" s="229"/>
      <c r="H45" s="231" t="s">
        <v>85</v>
      </c>
      <c r="I45" s="232"/>
      <c r="J45" s="230"/>
      <c r="K45" s="230"/>
      <c r="L45" s="230"/>
      <c r="M45" s="230"/>
    </row>
    <row r="46" spans="1:13" ht="12.75">
      <c r="A46" s="111">
        <v>760199</v>
      </c>
      <c r="B46" s="274">
        <v>41409</v>
      </c>
      <c r="C46" s="201">
        <v>100</v>
      </c>
      <c r="D46" s="275">
        <v>0.8</v>
      </c>
      <c r="E46" s="199">
        <v>137</v>
      </c>
      <c r="F46" s="293">
        <v>2311.371674</v>
      </c>
      <c r="G46" s="275">
        <v>1.503</v>
      </c>
      <c r="H46" s="199">
        <v>9</v>
      </c>
      <c r="I46" s="293">
        <v>2346.884179</v>
      </c>
      <c r="J46" s="197">
        <f aca="true" t="shared" si="10" ref="J46:J60">((I46/F46)^(252/(E46-H46))-1)*100</f>
        <v>3.047345245104194</v>
      </c>
      <c r="K46" s="217">
        <f aca="true" t="shared" si="11" ref="K46:K60">C46*$K$2*F46/$K$1</f>
        <v>238972.47382285201</v>
      </c>
      <c r="L46" s="217">
        <f aca="true" t="shared" si="12" ref="L46:L60">$C$7*I46</f>
        <v>234688.4179</v>
      </c>
      <c r="M46" s="218">
        <f aca="true" t="shared" si="13" ref="M46:M60">L46-K46</f>
        <v>-4284.055922852014</v>
      </c>
    </row>
    <row r="47" spans="1:15" ht="12.75">
      <c r="A47" s="111">
        <v>760199</v>
      </c>
      <c r="B47" s="274">
        <v>41866</v>
      </c>
      <c r="C47" s="201">
        <v>100</v>
      </c>
      <c r="D47" s="275">
        <v>1.97</v>
      </c>
      <c r="E47" s="199">
        <v>454</v>
      </c>
      <c r="F47" s="293">
        <v>2369.785989</v>
      </c>
      <c r="G47" s="275">
        <v>2.6909</v>
      </c>
      <c r="H47" s="199">
        <v>326</v>
      </c>
      <c r="I47" s="293">
        <v>2401.744416</v>
      </c>
      <c r="J47" s="197">
        <f t="shared" si="10"/>
        <v>2.672354738733662</v>
      </c>
      <c r="K47" s="217">
        <f t="shared" si="11"/>
        <v>245011.92369551552</v>
      </c>
      <c r="L47" s="217">
        <f t="shared" si="12"/>
        <v>240174.4416</v>
      </c>
      <c r="M47" s="218">
        <f t="shared" si="13"/>
        <v>-4837.48209551553</v>
      </c>
      <c r="O47" s="194"/>
    </row>
    <row r="48" spans="1:13" ht="12.75">
      <c r="A48" s="111">
        <v>760100</v>
      </c>
      <c r="B48" s="274">
        <v>42139</v>
      </c>
      <c r="C48" s="201">
        <v>100</v>
      </c>
      <c r="D48" s="275">
        <v>2.2173</v>
      </c>
      <c r="E48" s="199">
        <v>642</v>
      </c>
      <c r="F48" s="293">
        <v>2450.337433</v>
      </c>
      <c r="G48" s="275">
        <v>2.8403</v>
      </c>
      <c r="H48" s="199">
        <v>514</v>
      </c>
      <c r="I48" s="293">
        <v>2481.544235</v>
      </c>
      <c r="J48" s="197">
        <f t="shared" si="10"/>
        <v>2.5228095313897247</v>
      </c>
      <c r="K48" s="217">
        <f t="shared" si="11"/>
        <v>253340.12900287317</v>
      </c>
      <c r="L48" s="217">
        <f t="shared" si="12"/>
        <v>248154.42349999998</v>
      </c>
      <c r="M48" s="218">
        <f t="shared" si="13"/>
        <v>-5185.705502873199</v>
      </c>
    </row>
    <row r="49" spans="1:13" ht="12.75">
      <c r="A49" s="111">
        <v>760199</v>
      </c>
      <c r="B49" s="274">
        <v>42597</v>
      </c>
      <c r="C49" s="201">
        <v>100</v>
      </c>
      <c r="D49" s="275">
        <v>2.6498</v>
      </c>
      <c r="E49" s="199">
        <v>957</v>
      </c>
      <c r="F49" s="293">
        <v>2475.805759</v>
      </c>
      <c r="G49" s="275">
        <v>3.1088</v>
      </c>
      <c r="H49" s="199">
        <v>829</v>
      </c>
      <c r="I49" s="293">
        <v>2509.134003</v>
      </c>
      <c r="J49" s="197">
        <f t="shared" si="10"/>
        <v>2.6675258978252403</v>
      </c>
      <c r="K49" s="217">
        <f t="shared" si="11"/>
        <v>255973.29654438508</v>
      </c>
      <c r="L49" s="217">
        <f t="shared" si="12"/>
        <v>250913.4003</v>
      </c>
      <c r="M49" s="218">
        <f t="shared" si="13"/>
        <v>-5059.896244385076</v>
      </c>
    </row>
    <row r="50" spans="1:15" ht="12.75">
      <c r="A50" s="111">
        <v>760199</v>
      </c>
      <c r="B50" s="274">
        <v>42870</v>
      </c>
      <c r="C50" s="201">
        <v>100</v>
      </c>
      <c r="D50" s="275">
        <v>2.7694</v>
      </c>
      <c r="E50" s="199">
        <v>1143</v>
      </c>
      <c r="F50" s="293">
        <v>2545.085918</v>
      </c>
      <c r="G50" s="275">
        <v>3.2442</v>
      </c>
      <c r="H50" s="199">
        <v>1015</v>
      </c>
      <c r="I50" s="293">
        <v>2574.519725</v>
      </c>
      <c r="J50" s="197">
        <f t="shared" si="10"/>
        <v>2.289603613999347</v>
      </c>
      <c r="K50" s="217">
        <f t="shared" si="11"/>
        <v>263136.1648832616</v>
      </c>
      <c r="L50" s="217">
        <f t="shared" si="12"/>
        <v>257451.9725</v>
      </c>
      <c r="M50" s="218">
        <f t="shared" si="13"/>
        <v>-5684.192383261601</v>
      </c>
      <c r="O50" s="194"/>
    </row>
    <row r="51" spans="1:15" ht="12.75">
      <c r="A51" s="111">
        <v>760199</v>
      </c>
      <c r="B51" s="274">
        <v>43327</v>
      </c>
      <c r="C51" s="201">
        <v>100</v>
      </c>
      <c r="D51" s="275">
        <v>3.0201</v>
      </c>
      <c r="E51" s="199">
        <v>1458</v>
      </c>
      <c r="F51" s="293">
        <v>2555.947377</v>
      </c>
      <c r="G51" s="275">
        <v>3.3912</v>
      </c>
      <c r="H51" s="199">
        <v>1330</v>
      </c>
      <c r="I51" s="293">
        <v>2589.287332</v>
      </c>
      <c r="J51" s="197">
        <f t="shared" si="10"/>
        <v>2.5842744834010833</v>
      </c>
      <c r="K51" s="217">
        <f t="shared" si="11"/>
        <v>264259.12998478656</v>
      </c>
      <c r="L51" s="217">
        <f t="shared" si="12"/>
        <v>258928.7332</v>
      </c>
      <c r="M51" s="218">
        <f t="shared" si="13"/>
        <v>-5330.3967847865715</v>
      </c>
      <c r="O51" s="194"/>
    </row>
    <row r="52" spans="1:13" ht="12.75">
      <c r="A52" s="111">
        <v>760199</v>
      </c>
      <c r="B52" s="274">
        <v>44058</v>
      </c>
      <c r="C52" s="201">
        <v>100</v>
      </c>
      <c r="D52" s="275">
        <v>3.219</v>
      </c>
      <c r="E52" s="199">
        <v>1960</v>
      </c>
      <c r="F52" s="293">
        <v>2627.037779</v>
      </c>
      <c r="G52" s="275">
        <v>3.6099</v>
      </c>
      <c r="H52" s="199">
        <v>1832</v>
      </c>
      <c r="I52" s="293">
        <v>2648.984959</v>
      </c>
      <c r="J52" s="197">
        <f t="shared" si="10"/>
        <v>1.6514168504682347</v>
      </c>
      <c r="K52" s="217">
        <f t="shared" si="11"/>
        <v>271609.1591566856</v>
      </c>
      <c r="L52" s="217">
        <f t="shared" si="12"/>
        <v>264898.4959</v>
      </c>
      <c r="M52" s="218">
        <f t="shared" si="13"/>
        <v>-6710.663256685599</v>
      </c>
    </row>
    <row r="53" spans="1:13" ht="12.75">
      <c r="A53" s="111">
        <v>760100</v>
      </c>
      <c r="B53" s="274">
        <v>44788</v>
      </c>
      <c r="C53" s="201">
        <v>100</v>
      </c>
      <c r="D53" s="275">
        <v>3.4008</v>
      </c>
      <c r="E53" s="199">
        <v>2462</v>
      </c>
      <c r="F53" s="293">
        <v>2680.534194</v>
      </c>
      <c r="G53" s="275">
        <v>3.782</v>
      </c>
      <c r="H53" s="199">
        <v>2334</v>
      </c>
      <c r="I53" s="293">
        <v>2695.29937</v>
      </c>
      <c r="J53" s="197">
        <f t="shared" si="10"/>
        <v>1.0873390145927475</v>
      </c>
      <c r="K53" s="217">
        <f t="shared" si="11"/>
        <v>277140.1478665541</v>
      </c>
      <c r="L53" s="217">
        <f t="shared" si="12"/>
        <v>269529.93700000003</v>
      </c>
      <c r="M53" s="218">
        <f t="shared" si="13"/>
        <v>-7610.210866554058</v>
      </c>
    </row>
    <row r="54" spans="1:13" ht="12.75">
      <c r="A54" s="111">
        <v>760199</v>
      </c>
      <c r="B54" s="274">
        <v>45000</v>
      </c>
      <c r="C54" s="201">
        <v>100</v>
      </c>
      <c r="D54" s="275">
        <v>3.468</v>
      </c>
      <c r="E54" s="199">
        <v>2608</v>
      </c>
      <c r="F54" s="293">
        <v>2678.971599</v>
      </c>
      <c r="G54" s="275">
        <v>3.8567</v>
      </c>
      <c r="H54" s="199">
        <v>2480</v>
      </c>
      <c r="I54" s="293">
        <v>2689.460748</v>
      </c>
      <c r="J54" s="197">
        <f t="shared" si="10"/>
        <v>0.772299127537357</v>
      </c>
      <c r="K54" s="217">
        <f t="shared" si="11"/>
        <v>276978.59133415663</v>
      </c>
      <c r="L54" s="217">
        <f t="shared" si="12"/>
        <v>268946.0748</v>
      </c>
      <c r="M54" s="218">
        <f t="shared" si="13"/>
        <v>-8032.516534156632</v>
      </c>
    </row>
    <row r="55" spans="1:13" ht="12.75">
      <c r="A55" s="111">
        <v>760199</v>
      </c>
      <c r="B55" s="274">
        <v>45519</v>
      </c>
      <c r="C55" s="201">
        <v>100</v>
      </c>
      <c r="D55" s="275">
        <v>3.5258</v>
      </c>
      <c r="E55" s="199">
        <v>2964</v>
      </c>
      <c r="F55" s="293">
        <v>2728.442086</v>
      </c>
      <c r="G55" s="275">
        <v>3.9267</v>
      </c>
      <c r="H55" s="199">
        <v>2836</v>
      </c>
      <c r="I55" s="293">
        <v>2729.890923</v>
      </c>
      <c r="J55" s="197">
        <f t="shared" si="10"/>
        <v>0.10456998582877297</v>
      </c>
      <c r="K55" s="217">
        <f t="shared" si="11"/>
        <v>282093.33977232204</v>
      </c>
      <c r="L55" s="217">
        <f t="shared" si="12"/>
        <v>272989.0923</v>
      </c>
      <c r="M55" s="218">
        <f t="shared" si="13"/>
        <v>-9104.247472322022</v>
      </c>
    </row>
    <row r="56" spans="1:13" ht="12.75">
      <c r="A56" s="111">
        <v>760100</v>
      </c>
      <c r="B56" s="274">
        <v>47710</v>
      </c>
      <c r="C56" s="201">
        <v>100</v>
      </c>
      <c r="D56" s="275">
        <v>3.8087</v>
      </c>
      <c r="E56" s="199">
        <v>4470</v>
      </c>
      <c r="F56" s="293">
        <v>2825.016155</v>
      </c>
      <c r="G56" s="275">
        <v>4.1416</v>
      </c>
      <c r="H56" s="199">
        <v>4342</v>
      </c>
      <c r="I56" s="293">
        <v>2821.404476</v>
      </c>
      <c r="J56" s="197">
        <f t="shared" si="10"/>
        <v>-0.25154156189629573</v>
      </c>
      <c r="K56" s="217">
        <f t="shared" si="11"/>
        <v>292078.12259010645</v>
      </c>
      <c r="L56" s="217">
        <f t="shared" si="12"/>
        <v>282140.4476</v>
      </c>
      <c r="M56" s="218">
        <f t="shared" si="13"/>
        <v>-9937.674990106432</v>
      </c>
    </row>
    <row r="57" spans="1:15" ht="12.75">
      <c r="A57" s="111">
        <v>760199</v>
      </c>
      <c r="B57" s="274">
        <v>49444</v>
      </c>
      <c r="C57" s="201">
        <v>100</v>
      </c>
      <c r="D57" s="275">
        <v>3.8394</v>
      </c>
      <c r="E57" s="199">
        <v>5663</v>
      </c>
      <c r="F57" s="293">
        <v>2950.459879</v>
      </c>
      <c r="G57" s="275">
        <v>4.2007</v>
      </c>
      <c r="H57" s="199">
        <v>5535</v>
      </c>
      <c r="I57" s="293">
        <v>2921.821928</v>
      </c>
      <c r="J57" s="197">
        <f t="shared" si="10"/>
        <v>-1.9019362361761383</v>
      </c>
      <c r="K57" s="217">
        <f t="shared" si="11"/>
        <v>305047.73599631066</v>
      </c>
      <c r="L57" s="217">
        <f t="shared" si="12"/>
        <v>292182.19279999996</v>
      </c>
      <c r="M57" s="218">
        <f t="shared" si="13"/>
        <v>-12865.543196310697</v>
      </c>
      <c r="O57" s="194"/>
    </row>
    <row r="58" spans="1:13" ht="12.75">
      <c r="A58" s="111">
        <v>760199</v>
      </c>
      <c r="B58" s="274">
        <v>51363</v>
      </c>
      <c r="C58" s="201">
        <v>100</v>
      </c>
      <c r="D58" s="275">
        <v>3.9398</v>
      </c>
      <c r="E58" s="199">
        <v>6985</v>
      </c>
      <c r="F58" s="293">
        <v>2966.031039</v>
      </c>
      <c r="G58" s="275">
        <v>4.2456</v>
      </c>
      <c r="H58" s="199">
        <v>6857</v>
      </c>
      <c r="I58" s="293">
        <v>2944.163779</v>
      </c>
      <c r="J58" s="197">
        <f t="shared" si="10"/>
        <v>-1.4462902200527816</v>
      </c>
      <c r="K58" s="217">
        <f t="shared" si="11"/>
        <v>306657.63658795884</v>
      </c>
      <c r="L58" s="217">
        <f t="shared" si="12"/>
        <v>294416.3779</v>
      </c>
      <c r="M58" s="218">
        <f t="shared" si="13"/>
        <v>-12241.25868795882</v>
      </c>
    </row>
    <row r="59" spans="1:15" ht="12.75">
      <c r="A59" s="111">
        <v>760199</v>
      </c>
      <c r="B59" s="274">
        <v>53097</v>
      </c>
      <c r="C59" s="201">
        <v>100</v>
      </c>
      <c r="D59" s="275">
        <v>3.9596</v>
      </c>
      <c r="E59" s="199">
        <v>8176</v>
      </c>
      <c r="F59" s="293">
        <v>3054.577359</v>
      </c>
      <c r="G59" s="275">
        <v>4.3024</v>
      </c>
      <c r="H59" s="199">
        <v>8048</v>
      </c>
      <c r="I59" s="293">
        <v>3005.93001</v>
      </c>
      <c r="J59" s="197">
        <f t="shared" si="10"/>
        <v>-3.1112495317249578</v>
      </c>
      <c r="K59" s="217">
        <f t="shared" si="11"/>
        <v>315812.43128252676</v>
      </c>
      <c r="L59" s="217">
        <f t="shared" si="12"/>
        <v>300593.001</v>
      </c>
      <c r="M59" s="218">
        <f t="shared" si="13"/>
        <v>-15219.430282526766</v>
      </c>
      <c r="O59" s="194"/>
    </row>
    <row r="60" spans="1:13" ht="12.75">
      <c r="A60" s="116">
        <v>760199</v>
      </c>
      <c r="B60" s="292">
        <v>55015</v>
      </c>
      <c r="C60" s="201">
        <v>100</v>
      </c>
      <c r="D60" s="276">
        <v>3.9794</v>
      </c>
      <c r="E60" s="199">
        <v>9495</v>
      </c>
      <c r="F60" s="294">
        <v>3069.576517</v>
      </c>
      <c r="G60" s="276">
        <v>4.3411</v>
      </c>
      <c r="H60" s="199">
        <v>9367</v>
      </c>
      <c r="I60" s="294">
        <v>2998.164187</v>
      </c>
      <c r="J60" s="197">
        <f t="shared" si="10"/>
        <v>-4.528583255581243</v>
      </c>
      <c r="K60" s="217">
        <f t="shared" si="11"/>
        <v>317363.1926476675</v>
      </c>
      <c r="L60" s="217">
        <f t="shared" si="12"/>
        <v>299816.4187</v>
      </c>
      <c r="M60" s="218">
        <f t="shared" si="13"/>
        <v>-17546.773947667505</v>
      </c>
    </row>
    <row r="61" spans="1:6" ht="12.75">
      <c r="A61" s="123"/>
      <c r="B61" s="124"/>
      <c r="C61" s="124"/>
      <c r="D61" s="126"/>
      <c r="E61" s="126"/>
      <c r="F61" s="125"/>
    </row>
    <row r="62" spans="1:6" ht="12.75">
      <c r="A62" s="99" t="s">
        <v>65</v>
      </c>
      <c r="B62" s="100"/>
      <c r="C62" s="100"/>
      <c r="D62" s="101"/>
      <c r="E62" s="101"/>
      <c r="F62" s="101"/>
    </row>
    <row r="63" spans="1:6" ht="12.75">
      <c r="A63" s="105"/>
      <c r="B63" s="106"/>
      <c r="C63" s="106"/>
      <c r="D63" s="107"/>
      <c r="E63" s="107"/>
      <c r="F63" s="107"/>
    </row>
    <row r="64" spans="1:6" ht="12.75">
      <c r="A64" s="192" t="s">
        <v>66</v>
      </c>
      <c r="B64" s="279" t="s">
        <v>82</v>
      </c>
      <c r="C64" s="280"/>
      <c r="D64" s="281"/>
      <c r="E64" s="281"/>
      <c r="F64" s="282"/>
    </row>
    <row r="65" spans="1:13" ht="12.75" customHeight="1">
      <c r="A65" s="283" t="s">
        <v>68</v>
      </c>
      <c r="B65" s="284" t="s">
        <v>70</v>
      </c>
      <c r="C65" s="284" t="s">
        <v>158</v>
      </c>
      <c r="D65" s="285" t="s">
        <v>146</v>
      </c>
      <c r="E65" s="193" t="s">
        <v>153</v>
      </c>
      <c r="F65" s="285" t="s">
        <v>147</v>
      </c>
      <c r="G65" s="285" t="s">
        <v>148</v>
      </c>
      <c r="H65" s="193" t="s">
        <v>154</v>
      </c>
      <c r="I65" s="285" t="s">
        <v>149</v>
      </c>
      <c r="J65" s="285" t="s">
        <v>150</v>
      </c>
      <c r="K65" s="285" t="s">
        <v>151</v>
      </c>
      <c r="L65" s="285" t="s">
        <v>159</v>
      </c>
      <c r="M65" s="285" t="s">
        <v>152</v>
      </c>
    </row>
    <row r="66" spans="1:13" ht="13.5" thickBot="1">
      <c r="A66" s="288"/>
      <c r="B66" s="288"/>
      <c r="C66" s="288"/>
      <c r="D66" s="288"/>
      <c r="E66" s="227">
        <f>E44</f>
        <v>41206</v>
      </c>
      <c r="F66" s="289"/>
      <c r="G66" s="286"/>
      <c r="H66" s="227">
        <f>H44</f>
        <v>41396</v>
      </c>
      <c r="I66" s="289"/>
      <c r="J66" s="289"/>
      <c r="K66" s="289"/>
      <c r="L66" s="289"/>
      <c r="M66" s="289"/>
    </row>
    <row r="67" spans="1:13" ht="12.75">
      <c r="A67" s="111">
        <v>950199</v>
      </c>
      <c r="B67" s="274">
        <v>41640</v>
      </c>
      <c r="C67" s="201">
        <v>100</v>
      </c>
      <c r="D67" s="275">
        <v>7.14</v>
      </c>
      <c r="E67" s="199">
        <v>298</v>
      </c>
      <c r="F67" s="293">
        <v>1035.688085</v>
      </c>
      <c r="G67" s="275">
        <v>7.9603</v>
      </c>
      <c r="H67" s="199">
        <v>170</v>
      </c>
      <c r="I67" s="293">
        <v>1043.894711</v>
      </c>
      <c r="J67" s="197">
        <f aca="true" t="shared" si="14" ref="J67:J73">((I67/F67)^(252/(E67-H67))-1)*100</f>
        <v>1.5659928520470823</v>
      </c>
      <c r="K67" s="217">
        <f aca="true" t="shared" si="15" ref="K67:K73">C67*$K$2*F67/$K$1</f>
        <v>107079.68197645318</v>
      </c>
      <c r="L67" s="217">
        <f aca="true" t="shared" si="16" ref="L67:L73">$C$7*I67</f>
        <v>104389.4711</v>
      </c>
      <c r="M67" s="218">
        <f aca="true" t="shared" si="17" ref="M67:M73">L67-K67</f>
        <v>-2690.2108764531877</v>
      </c>
    </row>
    <row r="68" spans="1:13" ht="12.75">
      <c r="A68" s="111">
        <v>950199</v>
      </c>
      <c r="B68" s="274">
        <v>42005</v>
      </c>
      <c r="C68" s="201">
        <v>100</v>
      </c>
      <c r="D68" s="275">
        <v>7.4012</v>
      </c>
      <c r="E68" s="199">
        <v>551</v>
      </c>
      <c r="F68" s="293">
        <v>1058.319042</v>
      </c>
      <c r="G68" s="275">
        <v>8.1143</v>
      </c>
      <c r="H68" s="199">
        <v>423</v>
      </c>
      <c r="I68" s="293">
        <v>1058.847044</v>
      </c>
      <c r="J68" s="197">
        <f t="shared" si="14"/>
        <v>0.09824590686600132</v>
      </c>
      <c r="K68" s="217">
        <f t="shared" si="15"/>
        <v>109419.49423603209</v>
      </c>
      <c r="L68" s="217">
        <f t="shared" si="16"/>
        <v>105884.70440000002</v>
      </c>
      <c r="M68" s="218">
        <f t="shared" si="17"/>
        <v>-3534.7898360320687</v>
      </c>
    </row>
    <row r="69" spans="1:13" ht="12.75">
      <c r="A69" s="111">
        <v>950199</v>
      </c>
      <c r="B69" s="274">
        <v>42736</v>
      </c>
      <c r="C69" s="201">
        <v>100</v>
      </c>
      <c r="D69" s="275">
        <v>7.7684</v>
      </c>
      <c r="E69" s="199">
        <v>1052</v>
      </c>
      <c r="F69" s="293">
        <v>1072.580256</v>
      </c>
      <c r="G69" s="275">
        <v>8.7768</v>
      </c>
      <c r="H69" s="199">
        <v>924</v>
      </c>
      <c r="I69" s="293">
        <v>1068.084468</v>
      </c>
      <c r="J69" s="197">
        <f t="shared" si="14"/>
        <v>-0.8235385221047387</v>
      </c>
      <c r="K69" s="217">
        <f t="shared" si="15"/>
        <v>110893.95964877083</v>
      </c>
      <c r="L69" s="217">
        <f t="shared" si="16"/>
        <v>106808.4468</v>
      </c>
      <c r="M69" s="218">
        <f t="shared" si="17"/>
        <v>-4085.512848770828</v>
      </c>
    </row>
    <row r="70" spans="1:13" ht="12.75">
      <c r="A70" s="111">
        <v>950199</v>
      </c>
      <c r="B70" s="274">
        <v>43101</v>
      </c>
      <c r="C70" s="201">
        <v>100</v>
      </c>
      <c r="D70" s="275">
        <v>8.4546</v>
      </c>
      <c r="E70" s="199">
        <v>1301</v>
      </c>
      <c r="F70" s="293">
        <v>1082.480398</v>
      </c>
      <c r="G70" s="275">
        <v>8.8805</v>
      </c>
      <c r="H70" s="199">
        <v>1173</v>
      </c>
      <c r="I70" s="293">
        <v>1073.031324</v>
      </c>
      <c r="J70" s="197">
        <f t="shared" si="14"/>
        <v>-1.7112736178791499</v>
      </c>
      <c r="K70" s="217">
        <f t="shared" si="15"/>
        <v>111917.53428696097</v>
      </c>
      <c r="L70" s="217">
        <f t="shared" si="16"/>
        <v>107303.1324</v>
      </c>
      <c r="M70" s="218">
        <f t="shared" si="17"/>
        <v>-4614.401886960972</v>
      </c>
    </row>
    <row r="71" spans="1:13" ht="12.75">
      <c r="A71" s="111">
        <v>950199</v>
      </c>
      <c r="B71" s="274">
        <v>43466</v>
      </c>
      <c r="C71" s="201">
        <v>100</v>
      </c>
      <c r="D71" s="275">
        <v>8.6542</v>
      </c>
      <c r="E71" s="199">
        <v>1551</v>
      </c>
      <c r="F71" s="293">
        <v>1084.888769</v>
      </c>
      <c r="G71" s="275">
        <v>9.0181</v>
      </c>
      <c r="H71" s="199">
        <v>1423</v>
      </c>
      <c r="I71" s="293">
        <v>1074.298105</v>
      </c>
      <c r="J71" s="197">
        <f t="shared" si="14"/>
        <v>-1.9128015846584856</v>
      </c>
      <c r="K71" s="217">
        <f t="shared" si="15"/>
        <v>112166.53551087803</v>
      </c>
      <c r="L71" s="217">
        <f t="shared" si="16"/>
        <v>107429.8105</v>
      </c>
      <c r="M71" s="218">
        <f t="shared" si="17"/>
        <v>-4736.725010878028</v>
      </c>
    </row>
    <row r="72" spans="1:13" ht="12.75">
      <c r="A72" s="111">
        <v>950199</v>
      </c>
      <c r="B72" s="274">
        <v>44197</v>
      </c>
      <c r="C72" s="201">
        <v>100</v>
      </c>
      <c r="D72" s="275">
        <v>9.141</v>
      </c>
      <c r="E72" s="199">
        <v>2055</v>
      </c>
      <c r="F72" s="293">
        <v>1079.235482</v>
      </c>
      <c r="G72" s="275">
        <v>9.2685</v>
      </c>
      <c r="H72" s="199">
        <v>1927</v>
      </c>
      <c r="I72" s="293">
        <v>1071.218926</v>
      </c>
      <c r="J72" s="197">
        <f t="shared" si="14"/>
        <v>-1.4571245787068143</v>
      </c>
      <c r="K72" s="217">
        <f t="shared" si="15"/>
        <v>111582.0427636417</v>
      </c>
      <c r="L72" s="217">
        <f t="shared" si="16"/>
        <v>107121.8926</v>
      </c>
      <c r="M72" s="218">
        <f t="shared" si="17"/>
        <v>-4460.150163641694</v>
      </c>
    </row>
    <row r="73" spans="1:13" ht="12.75">
      <c r="A73" s="116">
        <v>950199</v>
      </c>
      <c r="B73" s="292">
        <v>44927</v>
      </c>
      <c r="C73" s="201">
        <v>100</v>
      </c>
      <c r="D73" s="276">
        <v>9.315</v>
      </c>
      <c r="E73" s="199">
        <v>2557</v>
      </c>
      <c r="F73" s="294">
        <v>1075.514164</v>
      </c>
      <c r="G73" s="276">
        <v>9.478</v>
      </c>
      <c r="H73" s="199">
        <v>2429</v>
      </c>
      <c r="I73" s="294">
        <v>1064.958072</v>
      </c>
      <c r="J73" s="197">
        <f t="shared" si="14"/>
        <v>-1.9231262059380083</v>
      </c>
      <c r="K73" s="217">
        <f t="shared" si="15"/>
        <v>111197.29608774142</v>
      </c>
      <c r="L73" s="217">
        <f t="shared" si="16"/>
        <v>106495.8072</v>
      </c>
      <c r="M73" s="218">
        <f t="shared" si="17"/>
        <v>-4701.48888774142</v>
      </c>
    </row>
    <row r="75" ht="12.75">
      <c r="F75" s="16"/>
    </row>
    <row r="76" spans="4:6" ht="12.75">
      <c r="D76" s="195"/>
      <c r="E76" s="195"/>
      <c r="F76" s="196"/>
    </row>
    <row r="77" spans="2:8" ht="12.75">
      <c r="B77" s="8"/>
      <c r="C77" s="8"/>
      <c r="D77" s="195"/>
      <c r="E77" s="195"/>
      <c r="F77" s="196"/>
      <c r="G77" s="8"/>
      <c r="H77" s="8"/>
    </row>
    <row r="78" spans="2:8" ht="12.75">
      <c r="B78" s="8"/>
      <c r="C78" s="8"/>
      <c r="D78" s="195"/>
      <c r="E78" s="195"/>
      <c r="F78" s="196"/>
      <c r="G78" s="8"/>
      <c r="H78" s="8"/>
    </row>
    <row r="79" spans="2:8" ht="12.75">
      <c r="B79" s="8"/>
      <c r="C79" s="8"/>
      <c r="D79" s="195"/>
      <c r="E79" s="195"/>
      <c r="F79" s="196"/>
      <c r="G79" s="8"/>
      <c r="H79" s="8"/>
    </row>
    <row r="80" spans="2:8" ht="12.75">
      <c r="B80" s="8"/>
      <c r="C80" s="8"/>
      <c r="D80" s="195"/>
      <c r="E80" s="195"/>
      <c r="F80" s="196"/>
      <c r="G80" s="8"/>
      <c r="H80" s="8"/>
    </row>
    <row r="81" spans="2:8" ht="12.75">
      <c r="B81" s="8"/>
      <c r="C81" s="8"/>
      <c r="D81" s="195"/>
      <c r="E81" s="195"/>
      <c r="F81" s="196"/>
      <c r="G81" s="8"/>
      <c r="H81" s="8"/>
    </row>
    <row r="82" spans="2:8" ht="12.75">
      <c r="B82" s="8"/>
      <c r="C82" s="8"/>
      <c r="D82" s="195"/>
      <c r="E82" s="195"/>
      <c r="F82" s="196"/>
      <c r="G82" s="8"/>
      <c r="H82" s="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1" sqref="A11"/>
    </sheetView>
  </sheetViews>
  <sheetFormatPr defaultColWidth="9.140625" defaultRowHeight="12.75"/>
  <cols>
    <col min="7" max="7" width="10.421875" style="0" bestFit="1" customWidth="1"/>
  </cols>
  <sheetData>
    <row r="1" spans="1:11" ht="12.75">
      <c r="A1" s="99" t="s">
        <v>65</v>
      </c>
      <c r="B1" s="100"/>
      <c r="C1" s="100"/>
      <c r="D1" s="101"/>
      <c r="E1" s="101"/>
      <c r="F1" s="101"/>
      <c r="G1" s="101"/>
      <c r="H1" s="102"/>
      <c r="I1" s="102"/>
      <c r="J1" s="102"/>
      <c r="K1" s="103" t="s">
        <v>144</v>
      </c>
    </row>
    <row r="2" spans="1:11" ht="12.75">
      <c r="A2" s="105"/>
      <c r="B2" s="106"/>
      <c r="C2" s="106"/>
      <c r="D2" s="107"/>
      <c r="E2" s="107"/>
      <c r="F2" s="107"/>
      <c r="G2" s="107"/>
      <c r="H2" s="108"/>
      <c r="I2" s="108"/>
      <c r="J2" s="108"/>
      <c r="K2" s="109"/>
    </row>
    <row r="3" spans="1:11" ht="12.75">
      <c r="A3" s="349" t="s">
        <v>66</v>
      </c>
      <c r="B3" s="350"/>
      <c r="C3" s="351" t="s">
        <v>67</v>
      </c>
      <c r="D3" s="350"/>
      <c r="E3" s="350"/>
      <c r="F3" s="350"/>
      <c r="G3" s="350"/>
      <c r="H3" s="350"/>
      <c r="I3" s="350"/>
      <c r="J3" s="350"/>
      <c r="K3" s="350"/>
    </row>
    <row r="4" spans="1:11" ht="12.75">
      <c r="A4" s="352" t="s">
        <v>68</v>
      </c>
      <c r="B4" s="353" t="s">
        <v>69</v>
      </c>
      <c r="C4" s="353" t="s">
        <v>70</v>
      </c>
      <c r="D4" s="346" t="s">
        <v>71</v>
      </c>
      <c r="E4" s="346" t="s">
        <v>72</v>
      </c>
      <c r="F4" s="346" t="s">
        <v>73</v>
      </c>
      <c r="G4" s="346" t="s">
        <v>24</v>
      </c>
      <c r="H4" s="348" t="s">
        <v>74</v>
      </c>
      <c r="I4" s="348"/>
      <c r="J4" s="348"/>
      <c r="K4" s="348"/>
    </row>
    <row r="5" spans="1:11" ht="25.5">
      <c r="A5" s="347"/>
      <c r="B5" s="347"/>
      <c r="C5" s="347"/>
      <c r="D5" s="347"/>
      <c r="E5" s="347"/>
      <c r="F5" s="347"/>
      <c r="G5" s="347"/>
      <c r="H5" s="110" t="s">
        <v>75</v>
      </c>
      <c r="I5" s="110" t="s">
        <v>76</v>
      </c>
      <c r="J5" s="110" t="s">
        <v>77</v>
      </c>
      <c r="K5" s="110" t="s">
        <v>78</v>
      </c>
    </row>
    <row r="6" spans="1:11" ht="12.75">
      <c r="A6" s="190">
        <v>100000</v>
      </c>
      <c r="B6" s="112">
        <v>40193</v>
      </c>
      <c r="C6" s="112">
        <v>40634</v>
      </c>
      <c r="D6" s="113">
        <v>11.4761</v>
      </c>
      <c r="E6" s="113">
        <v>11.4</v>
      </c>
      <c r="F6" s="113">
        <v>11.4371</v>
      </c>
      <c r="G6" s="114">
        <v>983.380468</v>
      </c>
      <c r="H6" s="113">
        <v>11.2847</v>
      </c>
      <c r="I6" s="113">
        <v>11.5265</v>
      </c>
      <c r="J6" s="113">
        <v>11.2908</v>
      </c>
      <c r="K6" s="113">
        <v>11.5364</v>
      </c>
    </row>
    <row r="7" spans="1:11" ht="12.75">
      <c r="A7" s="190">
        <v>100000</v>
      </c>
      <c r="B7" s="112">
        <v>39997</v>
      </c>
      <c r="C7" s="112">
        <v>40725</v>
      </c>
      <c r="D7" s="113">
        <v>11.98</v>
      </c>
      <c r="E7" s="113">
        <v>11.9264</v>
      </c>
      <c r="F7" s="113">
        <v>11.9457</v>
      </c>
      <c r="G7" s="114">
        <v>955.78044</v>
      </c>
      <c r="H7" s="113">
        <v>11.7292</v>
      </c>
      <c r="I7" s="113">
        <v>12.0817</v>
      </c>
      <c r="J7" s="113">
        <v>11.7307</v>
      </c>
      <c r="K7" s="113">
        <v>12.0826</v>
      </c>
    </row>
    <row r="8" spans="1:11" ht="12.75">
      <c r="A8" s="190">
        <v>100000</v>
      </c>
      <c r="B8" s="112">
        <v>40367</v>
      </c>
      <c r="C8" s="112">
        <v>40817</v>
      </c>
      <c r="D8" s="113">
        <v>12.2661</v>
      </c>
      <c r="E8" s="113">
        <v>12.2384</v>
      </c>
      <c r="F8" s="113">
        <v>12.2554</v>
      </c>
      <c r="G8" s="114">
        <v>926.673994</v>
      </c>
      <c r="H8" s="113">
        <v>12.0324</v>
      </c>
      <c r="I8" s="113">
        <v>12.3749</v>
      </c>
      <c r="J8" s="113">
        <v>12.0529</v>
      </c>
      <c r="K8" s="113">
        <v>12.3961</v>
      </c>
    </row>
    <row r="9" spans="1:11" ht="12.75">
      <c r="A9" s="190">
        <v>100000</v>
      </c>
      <c r="B9" s="112">
        <v>40557</v>
      </c>
      <c r="C9" s="112">
        <v>41000</v>
      </c>
      <c r="D9" s="113">
        <v>12.5975</v>
      </c>
      <c r="E9" s="113">
        <v>12.5569</v>
      </c>
      <c r="F9" s="113">
        <v>12.5799</v>
      </c>
      <c r="G9" s="114">
        <v>872.117419</v>
      </c>
      <c r="H9" s="113">
        <v>12.4225</v>
      </c>
      <c r="I9" s="113">
        <v>12.7286</v>
      </c>
      <c r="J9" s="113">
        <v>12.4532</v>
      </c>
      <c r="K9" s="113">
        <v>12.7584</v>
      </c>
    </row>
    <row r="10" spans="1:11" ht="12.75">
      <c r="A10" s="190">
        <v>100000</v>
      </c>
      <c r="B10" s="112">
        <v>40186</v>
      </c>
      <c r="C10" s="112">
        <v>41091</v>
      </c>
      <c r="D10" s="113">
        <v>12.7866</v>
      </c>
      <c r="E10" s="113">
        <v>12.72</v>
      </c>
      <c r="F10" s="113">
        <v>12.76</v>
      </c>
      <c r="G10" s="114">
        <v>845.165018</v>
      </c>
      <c r="H10" s="113">
        <v>12.5952</v>
      </c>
      <c r="I10" s="113">
        <v>12.935</v>
      </c>
      <c r="J10" s="113">
        <v>12.6298</v>
      </c>
      <c r="K10" s="113">
        <v>12.9691</v>
      </c>
    </row>
    <row r="11" spans="1:11" ht="12.75">
      <c r="A11" s="190">
        <v>100000</v>
      </c>
      <c r="B11" s="112">
        <v>40176</v>
      </c>
      <c r="C11" s="112">
        <v>41275</v>
      </c>
      <c r="D11" s="113">
        <v>12.93</v>
      </c>
      <c r="E11" s="113">
        <v>12.84</v>
      </c>
      <c r="F11" s="113">
        <v>12.9092</v>
      </c>
      <c r="G11" s="114">
        <v>793.912104</v>
      </c>
      <c r="H11" s="113">
        <v>12.7049</v>
      </c>
      <c r="I11" s="113">
        <v>13.0765</v>
      </c>
      <c r="J11" s="113">
        <v>12.7592</v>
      </c>
      <c r="K11" s="113">
        <v>13.1308</v>
      </c>
    </row>
    <row r="12" spans="1:11" ht="12.75">
      <c r="A12" s="190">
        <v>100000</v>
      </c>
      <c r="B12" s="112">
        <v>40515</v>
      </c>
      <c r="C12" s="112">
        <v>41365</v>
      </c>
      <c r="D12" s="113">
        <v>13.03</v>
      </c>
      <c r="E12" s="113">
        <v>12.95</v>
      </c>
      <c r="F12" s="113">
        <v>13.0108</v>
      </c>
      <c r="G12" s="114">
        <v>769.807841</v>
      </c>
      <c r="H12" s="113">
        <v>12.8018</v>
      </c>
      <c r="I12" s="113">
        <v>13.1696</v>
      </c>
      <c r="J12" s="113">
        <v>12.8562</v>
      </c>
      <c r="K12" s="113">
        <v>13.2241</v>
      </c>
    </row>
    <row r="13" spans="1:11" ht="12.75">
      <c r="A13" s="191">
        <v>100000</v>
      </c>
      <c r="B13" s="117">
        <v>40534</v>
      </c>
      <c r="C13" s="117">
        <v>42005</v>
      </c>
      <c r="D13" s="118">
        <v>12.9286</v>
      </c>
      <c r="E13" s="118">
        <v>12.82</v>
      </c>
      <c r="F13" s="118">
        <v>12.9137</v>
      </c>
      <c r="G13" s="119">
        <v>622.053334</v>
      </c>
      <c r="H13" s="118">
        <v>12.6613</v>
      </c>
      <c r="I13" s="118">
        <v>13.1215</v>
      </c>
      <c r="J13" s="118">
        <v>12.7331</v>
      </c>
      <c r="K13" s="118">
        <v>13.1929</v>
      </c>
    </row>
    <row r="14" spans="1:11" ht="12.75">
      <c r="A14" s="354" t="s">
        <v>145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1" ht="12.75">
      <c r="A15" s="99" t="s">
        <v>65</v>
      </c>
      <c r="B15" s="100"/>
      <c r="C15" s="100"/>
      <c r="D15" s="101"/>
      <c r="E15" s="101"/>
      <c r="F15" s="101"/>
      <c r="G15" s="101"/>
      <c r="H15" s="102"/>
      <c r="I15" s="102"/>
      <c r="J15" s="102"/>
      <c r="K15" s="103" t="s">
        <v>144</v>
      </c>
    </row>
    <row r="16" spans="1:11" ht="12.75">
      <c r="A16" s="105"/>
      <c r="B16" s="106"/>
      <c r="C16" s="106"/>
      <c r="D16" s="107"/>
      <c r="E16" s="107"/>
      <c r="F16" s="107"/>
      <c r="G16" s="107"/>
      <c r="H16" s="108"/>
      <c r="I16" s="108"/>
      <c r="J16" s="108"/>
      <c r="K16" s="109"/>
    </row>
    <row r="17" spans="1:11" ht="12.75">
      <c r="A17" s="349" t="s">
        <v>87</v>
      </c>
      <c r="B17" s="350"/>
      <c r="C17" s="351" t="s">
        <v>88</v>
      </c>
      <c r="D17" s="350"/>
      <c r="E17" s="350"/>
      <c r="F17" s="350"/>
      <c r="G17" s="350"/>
      <c r="H17" s="350"/>
      <c r="I17" s="350"/>
      <c r="J17" s="350"/>
      <c r="K17" s="350"/>
    </row>
    <row r="18" spans="1:11" ht="12.75">
      <c r="A18" s="352" t="s">
        <v>68</v>
      </c>
      <c r="B18" s="353" t="s">
        <v>69</v>
      </c>
      <c r="C18" s="353" t="s">
        <v>70</v>
      </c>
      <c r="D18" s="346" t="s">
        <v>71</v>
      </c>
      <c r="E18" s="346" t="s">
        <v>72</v>
      </c>
      <c r="F18" s="346" t="s">
        <v>73</v>
      </c>
      <c r="G18" s="346" t="s">
        <v>24</v>
      </c>
      <c r="H18" s="348" t="s">
        <v>74</v>
      </c>
      <c r="I18" s="348"/>
      <c r="J18" s="348"/>
      <c r="K18" s="348"/>
    </row>
    <row r="19" spans="1:11" ht="25.5">
      <c r="A19" s="347"/>
      <c r="B19" s="347"/>
      <c r="C19" s="347"/>
      <c r="D19" s="347"/>
      <c r="E19" s="347"/>
      <c r="F19" s="347"/>
      <c r="G19" s="347"/>
      <c r="H19" s="110" t="s">
        <v>75</v>
      </c>
      <c r="I19" s="110" t="s">
        <v>76</v>
      </c>
      <c r="J19" s="110" t="s">
        <v>77</v>
      </c>
      <c r="K19" s="110" t="s">
        <v>78</v>
      </c>
    </row>
    <row r="20" spans="1:11" ht="12.75">
      <c r="A20" s="190">
        <v>770100</v>
      </c>
      <c r="B20" s="112">
        <v>36708</v>
      </c>
      <c r="C20" s="112">
        <v>40603</v>
      </c>
      <c r="D20" s="113" t="s">
        <v>79</v>
      </c>
      <c r="E20" s="113" t="s">
        <v>79</v>
      </c>
      <c r="F20" s="113">
        <v>1.7891</v>
      </c>
      <c r="G20" s="114">
        <v>2541.913024</v>
      </c>
      <c r="H20" s="113">
        <v>-3.2851</v>
      </c>
      <c r="I20" s="113">
        <v>5.6517</v>
      </c>
      <c r="J20" s="113">
        <v>-3.368</v>
      </c>
      <c r="K20" s="113">
        <v>5.7607</v>
      </c>
    </row>
    <row r="21" spans="1:11" ht="12.75">
      <c r="A21" s="190">
        <v>770100</v>
      </c>
      <c r="B21" s="112">
        <v>36708</v>
      </c>
      <c r="C21" s="112">
        <v>42917</v>
      </c>
      <c r="D21" s="113">
        <v>6.1029</v>
      </c>
      <c r="E21" s="113">
        <v>5.2525</v>
      </c>
      <c r="F21" s="113">
        <v>5.7495</v>
      </c>
      <c r="G21" s="114">
        <v>2519.597781</v>
      </c>
      <c r="H21" s="113">
        <v>5.4297</v>
      </c>
      <c r="I21" s="113">
        <v>6.045</v>
      </c>
      <c r="J21" s="113">
        <v>5.4293</v>
      </c>
      <c r="K21" s="113">
        <v>6.047</v>
      </c>
    </row>
    <row r="22" spans="1:11" ht="12.75">
      <c r="A22" s="190">
        <v>770100</v>
      </c>
      <c r="B22" s="112">
        <v>36708</v>
      </c>
      <c r="C22" s="112">
        <v>44287</v>
      </c>
      <c r="D22" s="113">
        <v>6.1694</v>
      </c>
      <c r="E22" s="113">
        <v>5.1774</v>
      </c>
      <c r="F22" s="113">
        <v>5.7132</v>
      </c>
      <c r="G22" s="114">
        <v>2578.573603</v>
      </c>
      <c r="H22" s="113">
        <v>5.4027</v>
      </c>
      <c r="I22" s="113">
        <v>6.0114</v>
      </c>
      <c r="J22" s="113">
        <v>5.3986</v>
      </c>
      <c r="K22" s="113">
        <v>6.0096</v>
      </c>
    </row>
    <row r="23" spans="1:11" ht="12.75">
      <c r="A23" s="191">
        <v>770100</v>
      </c>
      <c r="B23" s="117">
        <v>36708</v>
      </c>
      <c r="C23" s="117">
        <v>47849</v>
      </c>
      <c r="D23" s="118">
        <v>6.1602</v>
      </c>
      <c r="E23" s="118">
        <v>5.2519</v>
      </c>
      <c r="F23" s="118">
        <v>5.7811</v>
      </c>
      <c r="G23" s="119">
        <v>4247.571794</v>
      </c>
      <c r="H23" s="118">
        <v>5.4528</v>
      </c>
      <c r="I23" s="118">
        <v>6.0981</v>
      </c>
      <c r="J23" s="118">
        <v>5.451</v>
      </c>
      <c r="K23" s="118">
        <v>6.0987</v>
      </c>
    </row>
    <row r="24" spans="1:11" ht="12.75">
      <c r="A24" s="99" t="s">
        <v>65</v>
      </c>
      <c r="B24" s="100"/>
      <c r="C24" s="100"/>
      <c r="D24" s="101"/>
      <c r="E24" s="101"/>
      <c r="F24" s="101"/>
      <c r="G24" s="101"/>
      <c r="H24" s="102"/>
      <c r="I24" s="102"/>
      <c r="J24" s="102"/>
      <c r="K24" s="103" t="s">
        <v>144</v>
      </c>
    </row>
    <row r="25" spans="1:11" ht="12.75">
      <c r="A25" s="105"/>
      <c r="B25" s="106"/>
      <c r="C25" s="106"/>
      <c r="D25" s="107"/>
      <c r="E25" s="107"/>
      <c r="F25" s="107"/>
      <c r="G25" s="107"/>
      <c r="H25" s="108"/>
      <c r="I25" s="108"/>
      <c r="J25" s="108"/>
      <c r="K25" s="109"/>
    </row>
    <row r="26" spans="1:11" ht="12.75">
      <c r="A26" s="349" t="s">
        <v>83</v>
      </c>
      <c r="B26" s="350"/>
      <c r="C26" s="351" t="s">
        <v>84</v>
      </c>
      <c r="D26" s="350"/>
      <c r="E26" s="350"/>
      <c r="F26" s="350"/>
      <c r="G26" s="350"/>
      <c r="H26" s="350"/>
      <c r="I26" s="350"/>
      <c r="J26" s="350"/>
      <c r="K26" s="350"/>
    </row>
    <row r="27" spans="1:11" ht="12.75">
      <c r="A27" s="352" t="s">
        <v>68</v>
      </c>
      <c r="B27" s="353" t="s">
        <v>69</v>
      </c>
      <c r="C27" s="353" t="s">
        <v>70</v>
      </c>
      <c r="D27" s="346" t="s">
        <v>71</v>
      </c>
      <c r="E27" s="346" t="s">
        <v>72</v>
      </c>
      <c r="F27" s="346" t="s">
        <v>73</v>
      </c>
      <c r="G27" s="346" t="s">
        <v>24</v>
      </c>
      <c r="H27" s="348" t="s">
        <v>74</v>
      </c>
      <c r="I27" s="348"/>
      <c r="J27" s="348"/>
      <c r="K27" s="348"/>
    </row>
    <row r="28" spans="1:11" ht="25.5">
      <c r="A28" s="347"/>
      <c r="B28" s="347"/>
      <c r="C28" s="347"/>
      <c r="D28" s="347"/>
      <c r="E28" s="347"/>
      <c r="F28" s="347"/>
      <c r="G28" s="347"/>
      <c r="H28" s="110" t="s">
        <v>75</v>
      </c>
      <c r="I28" s="110" t="s">
        <v>76</v>
      </c>
      <c r="J28" s="110" t="s">
        <v>77</v>
      </c>
      <c r="K28" s="110" t="s">
        <v>78</v>
      </c>
    </row>
    <row r="29" spans="1:11" ht="12.75">
      <c r="A29" s="190">
        <v>210100</v>
      </c>
      <c r="B29" s="112">
        <v>36708</v>
      </c>
      <c r="C29" s="112">
        <v>40618</v>
      </c>
      <c r="D29" s="113">
        <v>0.0006</v>
      </c>
      <c r="E29" s="113">
        <v>-0.0058</v>
      </c>
      <c r="F29" s="113">
        <v>-0.003</v>
      </c>
      <c r="G29" s="114">
        <v>4542.255341</v>
      </c>
      <c r="H29" s="113">
        <v>-0.007</v>
      </c>
      <c r="I29" s="113">
        <v>0.0009</v>
      </c>
      <c r="J29" s="113">
        <v>-0.0071</v>
      </c>
      <c r="K29" s="113">
        <v>0.0009</v>
      </c>
    </row>
    <row r="30" spans="1:11" ht="12.75">
      <c r="A30" s="190">
        <v>210100</v>
      </c>
      <c r="B30" s="112">
        <v>36708</v>
      </c>
      <c r="C30" s="112">
        <v>40709</v>
      </c>
      <c r="D30" s="113">
        <v>0.0006</v>
      </c>
      <c r="E30" s="113">
        <v>-0.0055</v>
      </c>
      <c r="F30" s="113">
        <v>-0.0027</v>
      </c>
      <c r="G30" s="114">
        <v>4542.282595</v>
      </c>
      <c r="H30" s="113">
        <v>-0.0065</v>
      </c>
      <c r="I30" s="113">
        <v>0.0012</v>
      </c>
      <c r="J30" s="113">
        <v>-0.0065</v>
      </c>
      <c r="K30" s="113">
        <v>0.0012</v>
      </c>
    </row>
    <row r="31" spans="1:11" ht="12.75">
      <c r="A31" s="190">
        <v>210100</v>
      </c>
      <c r="B31" s="112">
        <v>36708</v>
      </c>
      <c r="C31" s="112">
        <v>40807</v>
      </c>
      <c r="D31" s="113">
        <v>0.0008</v>
      </c>
      <c r="E31" s="113">
        <v>-0.0052</v>
      </c>
      <c r="F31" s="113">
        <v>-0.0024</v>
      </c>
      <c r="G31" s="114">
        <v>4542.309848</v>
      </c>
      <c r="H31" s="113">
        <v>-0.0052</v>
      </c>
      <c r="I31" s="113">
        <v>0.0007</v>
      </c>
      <c r="J31" s="113">
        <v>-0.0052</v>
      </c>
      <c r="K31" s="113">
        <v>0.0006</v>
      </c>
    </row>
    <row r="32" spans="1:11" ht="12.75">
      <c r="A32" s="190">
        <v>210100</v>
      </c>
      <c r="B32" s="112">
        <v>36708</v>
      </c>
      <c r="C32" s="112">
        <v>40863</v>
      </c>
      <c r="D32" s="113">
        <v>0.0008</v>
      </c>
      <c r="E32" s="113">
        <v>-0.0035</v>
      </c>
      <c r="F32" s="113">
        <v>-0.002</v>
      </c>
      <c r="G32" s="114">
        <v>4542.309848</v>
      </c>
      <c r="H32" s="113">
        <v>-0.0048</v>
      </c>
      <c r="I32" s="113">
        <v>0.0007</v>
      </c>
      <c r="J32" s="113">
        <v>-0.0048</v>
      </c>
      <c r="K32" s="113">
        <v>0.0007</v>
      </c>
    </row>
    <row r="33" spans="1:11" ht="12.75">
      <c r="A33" s="190">
        <v>210100</v>
      </c>
      <c r="B33" s="112">
        <v>36708</v>
      </c>
      <c r="C33" s="112">
        <v>40898</v>
      </c>
      <c r="D33" s="113">
        <v>0.0011</v>
      </c>
      <c r="E33" s="113">
        <v>-0.0037</v>
      </c>
      <c r="F33" s="113">
        <v>-0.0019</v>
      </c>
      <c r="G33" s="114">
        <v>4542.31439</v>
      </c>
      <c r="H33" s="113">
        <v>-0.0047</v>
      </c>
      <c r="I33" s="113">
        <v>0.0009</v>
      </c>
      <c r="J33" s="113">
        <v>-0.0046</v>
      </c>
      <c r="K33" s="113">
        <v>0.0009</v>
      </c>
    </row>
    <row r="34" spans="1:11" ht="12.75">
      <c r="A34" s="190">
        <v>210100</v>
      </c>
      <c r="B34" s="112">
        <v>36708</v>
      </c>
      <c r="C34" s="112">
        <v>40975</v>
      </c>
      <c r="D34" s="113">
        <v>0.0014</v>
      </c>
      <c r="E34" s="113">
        <v>-0.0049</v>
      </c>
      <c r="F34" s="113">
        <v>-0.0015</v>
      </c>
      <c r="G34" s="114">
        <v>4542.31439</v>
      </c>
      <c r="H34" s="113">
        <v>-0.0047</v>
      </c>
      <c r="I34" s="113">
        <v>0.0014</v>
      </c>
      <c r="J34" s="113">
        <v>-0.0046</v>
      </c>
      <c r="K34" s="113">
        <v>0.0014</v>
      </c>
    </row>
    <row r="35" spans="1:11" ht="12.75">
      <c r="A35" s="190">
        <v>210100</v>
      </c>
      <c r="B35" s="112">
        <v>36708</v>
      </c>
      <c r="C35" s="112">
        <v>41159</v>
      </c>
      <c r="D35" s="113">
        <v>0.0014</v>
      </c>
      <c r="E35" s="113">
        <v>-0.0026</v>
      </c>
      <c r="F35" s="113">
        <v>-0.0011</v>
      </c>
      <c r="G35" s="114">
        <v>4542.318933</v>
      </c>
      <c r="H35" s="113">
        <v>-0.0032</v>
      </c>
      <c r="I35" s="113">
        <v>0.0012</v>
      </c>
      <c r="J35" s="113">
        <v>-0.0032</v>
      </c>
      <c r="K35" s="113">
        <v>0.0012</v>
      </c>
    </row>
    <row r="36" spans="1:11" ht="12.75">
      <c r="A36" s="190">
        <v>210100</v>
      </c>
      <c r="B36" s="112">
        <v>36708</v>
      </c>
      <c r="C36" s="112">
        <v>41234</v>
      </c>
      <c r="D36" s="113">
        <v>0.0015</v>
      </c>
      <c r="E36" s="113">
        <v>-0.0026</v>
      </c>
      <c r="F36" s="113">
        <v>-0.001</v>
      </c>
      <c r="G36" s="114">
        <v>4542.318933</v>
      </c>
      <c r="H36" s="113">
        <v>-0.0031</v>
      </c>
      <c r="I36" s="113">
        <v>0.0014</v>
      </c>
      <c r="J36" s="113">
        <v>-0.0031</v>
      </c>
      <c r="K36" s="113">
        <v>0.0014</v>
      </c>
    </row>
    <row r="37" spans="1:11" ht="12.75">
      <c r="A37" s="190">
        <v>210100</v>
      </c>
      <c r="B37" s="112">
        <v>36708</v>
      </c>
      <c r="C37" s="112">
        <v>41340</v>
      </c>
      <c r="D37" s="113">
        <v>0.0015</v>
      </c>
      <c r="E37" s="113">
        <v>-0.0025</v>
      </c>
      <c r="F37" s="113">
        <v>-0.0009</v>
      </c>
      <c r="G37" s="114">
        <v>4542.323475</v>
      </c>
      <c r="H37" s="113">
        <v>-0.0026</v>
      </c>
      <c r="I37" s="113">
        <v>0.0014</v>
      </c>
      <c r="J37" s="113">
        <v>-0.0025</v>
      </c>
      <c r="K37" s="113">
        <v>0.0014</v>
      </c>
    </row>
    <row r="38" spans="1:11" ht="12.75">
      <c r="A38" s="190">
        <v>210100</v>
      </c>
      <c r="B38" s="112">
        <v>36708</v>
      </c>
      <c r="C38" s="112">
        <v>41432</v>
      </c>
      <c r="D38" s="113">
        <v>0.0009</v>
      </c>
      <c r="E38" s="113">
        <v>-0.0022</v>
      </c>
      <c r="F38" s="113">
        <v>-0.0003</v>
      </c>
      <c r="G38" s="114">
        <v>4542.268968</v>
      </c>
      <c r="H38" s="113">
        <v>-0.0022</v>
      </c>
      <c r="I38" s="113">
        <v>0.0014</v>
      </c>
      <c r="J38" s="113">
        <v>-0.0022</v>
      </c>
      <c r="K38" s="113">
        <v>0.0014</v>
      </c>
    </row>
    <row r="39" spans="1:11" ht="12.75">
      <c r="A39" s="190">
        <v>210100</v>
      </c>
      <c r="B39" s="112">
        <v>36708</v>
      </c>
      <c r="C39" s="112">
        <v>41524</v>
      </c>
      <c r="D39" s="113">
        <v>0.0015</v>
      </c>
      <c r="E39" s="113">
        <v>-0.0015</v>
      </c>
      <c r="F39" s="113">
        <v>0</v>
      </c>
      <c r="G39" s="114">
        <v>4542.241715</v>
      </c>
      <c r="H39" s="113">
        <v>-0.0021</v>
      </c>
      <c r="I39" s="113">
        <v>0.0016</v>
      </c>
      <c r="J39" s="113">
        <v>-0.0021</v>
      </c>
      <c r="K39" s="113">
        <v>0.0016</v>
      </c>
    </row>
    <row r="40" spans="1:11" ht="12.75">
      <c r="A40" s="190">
        <v>210100</v>
      </c>
      <c r="B40" s="112">
        <v>36708</v>
      </c>
      <c r="C40" s="112">
        <v>41626</v>
      </c>
      <c r="D40" s="113">
        <v>0.0027</v>
      </c>
      <c r="E40" s="113">
        <v>-0.0017</v>
      </c>
      <c r="F40" s="113">
        <v>0</v>
      </c>
      <c r="G40" s="114">
        <v>4542.241715</v>
      </c>
      <c r="H40" s="113">
        <v>-0.0019</v>
      </c>
      <c r="I40" s="113">
        <v>0.0016</v>
      </c>
      <c r="J40" s="113">
        <v>-0.0018</v>
      </c>
      <c r="K40" s="113">
        <v>0.0016</v>
      </c>
    </row>
    <row r="41" spans="1:11" ht="12.75">
      <c r="A41" s="190">
        <v>210100</v>
      </c>
      <c r="B41" s="112">
        <v>36708</v>
      </c>
      <c r="C41" s="112">
        <v>41705</v>
      </c>
      <c r="D41" s="113">
        <v>0.0029</v>
      </c>
      <c r="E41" s="113">
        <v>-0.0033</v>
      </c>
      <c r="F41" s="113">
        <v>0</v>
      </c>
      <c r="G41" s="114">
        <v>4542.241715</v>
      </c>
      <c r="H41" s="113">
        <v>-0.0027</v>
      </c>
      <c r="I41" s="113">
        <v>0.0026</v>
      </c>
      <c r="J41" s="113">
        <v>-0.0027</v>
      </c>
      <c r="K41" s="113">
        <v>0.0026</v>
      </c>
    </row>
    <row r="42" spans="1:11" ht="12.75">
      <c r="A42" s="190">
        <v>210100</v>
      </c>
      <c r="B42" s="112">
        <v>36708</v>
      </c>
      <c r="C42" s="112">
        <v>41889</v>
      </c>
      <c r="D42" s="113">
        <v>0.0028</v>
      </c>
      <c r="E42" s="113">
        <v>-0.0014</v>
      </c>
      <c r="F42" s="113">
        <v>0</v>
      </c>
      <c r="G42" s="114">
        <v>4542.241715</v>
      </c>
      <c r="H42" s="113">
        <v>-0.0021</v>
      </c>
      <c r="I42" s="113">
        <v>0.0023</v>
      </c>
      <c r="J42" s="113">
        <v>-0.0021</v>
      </c>
      <c r="K42" s="113">
        <v>0.0023</v>
      </c>
    </row>
    <row r="43" spans="1:11" ht="12.75">
      <c r="A43" s="190">
        <v>210100</v>
      </c>
      <c r="B43" s="112">
        <v>36708</v>
      </c>
      <c r="C43" s="112">
        <v>42070</v>
      </c>
      <c r="D43" s="113">
        <v>0.0029</v>
      </c>
      <c r="E43" s="113">
        <v>-0.0013</v>
      </c>
      <c r="F43" s="113">
        <v>0</v>
      </c>
      <c r="G43" s="114">
        <v>4542.241715</v>
      </c>
      <c r="H43" s="113">
        <v>-0.002</v>
      </c>
      <c r="I43" s="113">
        <v>0.0023</v>
      </c>
      <c r="J43" s="113">
        <v>-0.002</v>
      </c>
      <c r="K43" s="113">
        <v>0.0023</v>
      </c>
    </row>
    <row r="44" spans="1:11" ht="12.75">
      <c r="A44" s="190">
        <v>210100</v>
      </c>
      <c r="B44" s="112">
        <v>36708</v>
      </c>
      <c r="C44" s="112">
        <v>42254</v>
      </c>
      <c r="D44" s="113">
        <v>0.0029</v>
      </c>
      <c r="E44" s="113">
        <v>-0.0013</v>
      </c>
      <c r="F44" s="113">
        <v>0</v>
      </c>
      <c r="G44" s="114">
        <v>4542.241715</v>
      </c>
      <c r="H44" s="113">
        <v>-0.002</v>
      </c>
      <c r="I44" s="113">
        <v>0.0023</v>
      </c>
      <c r="J44" s="113">
        <v>-0.002</v>
      </c>
      <c r="K44" s="113">
        <v>0.0023</v>
      </c>
    </row>
    <row r="45" spans="1:11" ht="12.75">
      <c r="A45" s="190">
        <v>210100</v>
      </c>
      <c r="B45" s="112">
        <v>36708</v>
      </c>
      <c r="C45" s="112">
        <v>42620</v>
      </c>
      <c r="D45" s="113">
        <v>0.0029</v>
      </c>
      <c r="E45" s="113">
        <v>-0.0014</v>
      </c>
      <c r="F45" s="113">
        <v>0</v>
      </c>
      <c r="G45" s="114">
        <v>4542.241715</v>
      </c>
      <c r="H45" s="113">
        <v>-0.0024</v>
      </c>
      <c r="I45" s="113">
        <v>0.0025</v>
      </c>
      <c r="J45" s="113">
        <v>-0.0024</v>
      </c>
      <c r="K45" s="113">
        <v>0.0025</v>
      </c>
    </row>
    <row r="46" spans="1:11" ht="12.75">
      <c r="A46" s="190">
        <v>210100</v>
      </c>
      <c r="B46" s="112">
        <v>36708</v>
      </c>
      <c r="C46" s="112">
        <v>42801</v>
      </c>
      <c r="D46" s="113">
        <v>0.0029</v>
      </c>
      <c r="E46" s="113">
        <v>-0.0013</v>
      </c>
      <c r="F46" s="113">
        <v>0</v>
      </c>
      <c r="G46" s="114">
        <v>4542.241715</v>
      </c>
      <c r="H46" s="113">
        <v>-0.0025</v>
      </c>
      <c r="I46" s="113">
        <v>0.0023</v>
      </c>
      <c r="J46" s="113">
        <v>-0.0025</v>
      </c>
      <c r="K46" s="113">
        <v>0.0023</v>
      </c>
    </row>
    <row r="47" spans="1:11" ht="12.75">
      <c r="A47" s="191">
        <v>210100</v>
      </c>
      <c r="B47" s="117">
        <v>36708</v>
      </c>
      <c r="C47" s="117">
        <v>42985</v>
      </c>
      <c r="D47" s="118">
        <v>0.0023</v>
      </c>
      <c r="E47" s="118">
        <v>-0.0013</v>
      </c>
      <c r="F47" s="118">
        <v>0</v>
      </c>
      <c r="G47" s="119">
        <v>4542.241715</v>
      </c>
      <c r="H47" s="118">
        <v>-0.0026</v>
      </c>
      <c r="I47" s="118">
        <v>0.002</v>
      </c>
      <c r="J47" s="118">
        <v>-0.0026</v>
      </c>
      <c r="K47" s="118">
        <v>0.002</v>
      </c>
    </row>
    <row r="48" spans="1:11" ht="12.75">
      <c r="A48" s="99" t="s">
        <v>65</v>
      </c>
      <c r="B48" s="100"/>
      <c r="C48" s="100"/>
      <c r="D48" s="101"/>
      <c r="E48" s="101"/>
      <c r="F48" s="101"/>
      <c r="G48" s="101"/>
      <c r="H48" s="102"/>
      <c r="I48" s="102"/>
      <c r="J48" s="102"/>
      <c r="K48" s="103" t="s">
        <v>144</v>
      </c>
    </row>
    <row r="49" spans="1:11" ht="12.75">
      <c r="A49" s="105"/>
      <c r="B49" s="106"/>
      <c r="C49" s="106"/>
      <c r="D49" s="107"/>
      <c r="E49" s="107"/>
      <c r="F49" s="107"/>
      <c r="G49" s="107"/>
      <c r="H49" s="108"/>
      <c r="I49" s="108"/>
      <c r="J49" s="108"/>
      <c r="K49" s="109"/>
    </row>
    <row r="50" spans="1:11" ht="12.75">
      <c r="A50" s="349" t="s">
        <v>80</v>
      </c>
      <c r="B50" s="350"/>
      <c r="C50" s="351" t="s">
        <v>81</v>
      </c>
      <c r="D50" s="350"/>
      <c r="E50" s="350"/>
      <c r="F50" s="350"/>
      <c r="G50" s="350"/>
      <c r="H50" s="350"/>
      <c r="I50" s="350"/>
      <c r="J50" s="350"/>
      <c r="K50" s="350"/>
    </row>
    <row r="51" spans="1:11" ht="12.75">
      <c r="A51" s="352" t="s">
        <v>68</v>
      </c>
      <c r="B51" s="353" t="s">
        <v>69</v>
      </c>
      <c r="C51" s="353" t="s">
        <v>70</v>
      </c>
      <c r="D51" s="346" t="s">
        <v>71</v>
      </c>
      <c r="E51" s="346" t="s">
        <v>72</v>
      </c>
      <c r="F51" s="346" t="s">
        <v>73</v>
      </c>
      <c r="G51" s="346" t="s">
        <v>24</v>
      </c>
      <c r="H51" s="348" t="s">
        <v>74</v>
      </c>
      <c r="I51" s="348"/>
      <c r="J51" s="348"/>
      <c r="K51" s="348"/>
    </row>
    <row r="52" spans="1:11" ht="25.5">
      <c r="A52" s="347"/>
      <c r="B52" s="347"/>
      <c r="C52" s="347"/>
      <c r="D52" s="347"/>
      <c r="E52" s="347"/>
      <c r="F52" s="347"/>
      <c r="G52" s="347"/>
      <c r="H52" s="110" t="s">
        <v>75</v>
      </c>
      <c r="I52" s="110" t="s">
        <v>76</v>
      </c>
      <c r="J52" s="110" t="s">
        <v>77</v>
      </c>
      <c r="K52" s="110" t="s">
        <v>78</v>
      </c>
    </row>
    <row r="53" spans="1:11" ht="12.75">
      <c r="A53" s="190">
        <v>760199</v>
      </c>
      <c r="B53" s="112">
        <v>36722</v>
      </c>
      <c r="C53" s="112">
        <v>40678</v>
      </c>
      <c r="D53" s="113">
        <v>3.18</v>
      </c>
      <c r="E53" s="113">
        <v>2.7</v>
      </c>
      <c r="F53" s="113">
        <v>3.0388</v>
      </c>
      <c r="G53" s="114">
        <v>2031.584081</v>
      </c>
      <c r="H53" s="113">
        <v>2.6802</v>
      </c>
      <c r="I53" s="113">
        <v>3.3094</v>
      </c>
      <c r="J53" s="113">
        <v>2.7221</v>
      </c>
      <c r="K53" s="113">
        <v>3.3548</v>
      </c>
    </row>
    <row r="54" spans="1:11" ht="12.75">
      <c r="A54" s="190">
        <v>760199</v>
      </c>
      <c r="B54" s="112">
        <v>36722</v>
      </c>
      <c r="C54" s="112">
        <v>40862</v>
      </c>
      <c r="D54" s="113">
        <v>5.59</v>
      </c>
      <c r="E54" s="113">
        <v>5.4</v>
      </c>
      <c r="F54" s="113">
        <v>5.4756</v>
      </c>
      <c r="G54" s="114">
        <v>2023.263028</v>
      </c>
      <c r="H54" s="113">
        <v>5.2184</v>
      </c>
      <c r="I54" s="113">
        <v>5.649</v>
      </c>
      <c r="J54" s="113">
        <v>5.2431</v>
      </c>
      <c r="K54" s="113">
        <v>5.6764</v>
      </c>
    </row>
    <row r="55" spans="1:11" ht="12.75">
      <c r="A55" s="190">
        <v>760199</v>
      </c>
      <c r="B55" s="112">
        <v>36722</v>
      </c>
      <c r="C55" s="112">
        <v>41136</v>
      </c>
      <c r="D55" s="113">
        <v>6.073</v>
      </c>
      <c r="E55" s="113">
        <v>5.8086</v>
      </c>
      <c r="F55" s="113">
        <v>5.942</v>
      </c>
      <c r="G55" s="114">
        <v>2046.352308</v>
      </c>
      <c r="H55" s="113">
        <v>5.7519</v>
      </c>
      <c r="I55" s="113">
        <v>6.0802</v>
      </c>
      <c r="J55" s="113">
        <v>5.7643</v>
      </c>
      <c r="K55" s="113">
        <v>6.0926</v>
      </c>
    </row>
    <row r="56" spans="1:11" ht="12.75">
      <c r="A56" s="190">
        <v>760199</v>
      </c>
      <c r="B56" s="112">
        <v>36722</v>
      </c>
      <c r="C56" s="112">
        <v>41409</v>
      </c>
      <c r="D56" s="113">
        <v>6.4216</v>
      </c>
      <c r="E56" s="113">
        <v>6.3</v>
      </c>
      <c r="F56" s="113">
        <v>6.3795</v>
      </c>
      <c r="G56" s="114">
        <v>2001.657733</v>
      </c>
      <c r="H56" s="113">
        <v>6.2025</v>
      </c>
      <c r="I56" s="113">
        <v>6.5001</v>
      </c>
      <c r="J56" s="113">
        <v>6.2265</v>
      </c>
      <c r="K56" s="113">
        <v>6.5242</v>
      </c>
    </row>
    <row r="57" spans="1:11" ht="12.75">
      <c r="A57" s="190">
        <v>760199</v>
      </c>
      <c r="B57" s="112">
        <v>36722</v>
      </c>
      <c r="C57" s="112">
        <v>41866</v>
      </c>
      <c r="D57" s="113">
        <v>6.5704</v>
      </c>
      <c r="E57" s="113">
        <v>6.35</v>
      </c>
      <c r="F57" s="113">
        <v>6.5246</v>
      </c>
      <c r="G57" s="114">
        <v>2014.084607</v>
      </c>
      <c r="H57" s="113">
        <v>6.3066</v>
      </c>
      <c r="I57" s="113">
        <v>6.5951</v>
      </c>
      <c r="J57" s="113">
        <v>6.379</v>
      </c>
      <c r="K57" s="113">
        <v>6.6676</v>
      </c>
    </row>
    <row r="58" spans="1:11" ht="12.75">
      <c r="A58" s="190">
        <v>760199</v>
      </c>
      <c r="B58" s="112">
        <v>36722</v>
      </c>
      <c r="C58" s="112">
        <v>42139</v>
      </c>
      <c r="D58" s="113">
        <v>6.4908</v>
      </c>
      <c r="E58" s="113">
        <v>6.31</v>
      </c>
      <c r="F58" s="113">
        <v>6.3959</v>
      </c>
      <c r="G58" s="114">
        <v>1988.196446</v>
      </c>
      <c r="H58" s="113">
        <v>6.2095</v>
      </c>
      <c r="I58" s="113">
        <v>6.5007</v>
      </c>
      <c r="J58" s="113">
        <v>6.2539</v>
      </c>
      <c r="K58" s="113">
        <v>6.5451</v>
      </c>
    </row>
    <row r="59" spans="1:11" ht="12.75">
      <c r="A59" s="190">
        <v>760199</v>
      </c>
      <c r="B59" s="112">
        <v>36722</v>
      </c>
      <c r="C59" s="112">
        <v>42597</v>
      </c>
      <c r="D59" s="113">
        <v>6.4144</v>
      </c>
      <c r="E59" s="113">
        <v>6.1922</v>
      </c>
      <c r="F59" s="113">
        <v>6.3079</v>
      </c>
      <c r="G59" s="114">
        <v>2018.443064</v>
      </c>
      <c r="H59" s="113">
        <v>6.1223</v>
      </c>
      <c r="I59" s="113">
        <v>6.4128</v>
      </c>
      <c r="J59" s="113">
        <v>6.1678</v>
      </c>
      <c r="K59" s="113">
        <v>6.4582</v>
      </c>
    </row>
    <row r="60" spans="1:11" ht="12.75">
      <c r="A60" s="190">
        <v>760199</v>
      </c>
      <c r="B60" s="112">
        <v>36722</v>
      </c>
      <c r="C60" s="112">
        <v>42870</v>
      </c>
      <c r="D60" s="113">
        <v>6.2557</v>
      </c>
      <c r="E60" s="113">
        <v>6.0923</v>
      </c>
      <c r="F60" s="113">
        <v>6.2002</v>
      </c>
      <c r="G60" s="114">
        <v>1997.535997</v>
      </c>
      <c r="H60" s="113">
        <v>6.0107</v>
      </c>
      <c r="I60" s="113">
        <v>6.3045</v>
      </c>
      <c r="J60" s="113">
        <v>6.056</v>
      </c>
      <c r="K60" s="113">
        <v>6.3497</v>
      </c>
    </row>
    <row r="61" spans="1:11" ht="12.75">
      <c r="A61" s="190">
        <v>760199</v>
      </c>
      <c r="B61" s="112">
        <v>36722</v>
      </c>
      <c r="C61" s="112">
        <v>44058</v>
      </c>
      <c r="D61" s="113">
        <v>6.3243</v>
      </c>
      <c r="E61" s="113">
        <v>6.107</v>
      </c>
      <c r="F61" s="113">
        <v>6.2201</v>
      </c>
      <c r="G61" s="114">
        <v>2016.780047</v>
      </c>
      <c r="H61" s="113">
        <v>6.0336</v>
      </c>
      <c r="I61" s="113">
        <v>6.324</v>
      </c>
      <c r="J61" s="113">
        <v>6.0752</v>
      </c>
      <c r="K61" s="113">
        <v>6.3656</v>
      </c>
    </row>
    <row r="62" spans="1:11" ht="12.75">
      <c r="A62" s="190">
        <v>760100</v>
      </c>
      <c r="B62" s="112">
        <v>36722</v>
      </c>
      <c r="C62" s="112">
        <v>45000</v>
      </c>
      <c r="D62" s="113">
        <v>6.2265</v>
      </c>
      <c r="E62" s="113">
        <v>5.9821</v>
      </c>
      <c r="F62" s="113">
        <v>6.0716</v>
      </c>
      <c r="G62" s="114">
        <v>2026.579116</v>
      </c>
      <c r="H62" s="113">
        <v>5.8912</v>
      </c>
      <c r="I62" s="113">
        <v>6.1751</v>
      </c>
      <c r="J62" s="113">
        <v>5.9363</v>
      </c>
      <c r="K62" s="113">
        <v>6.2203</v>
      </c>
    </row>
    <row r="63" spans="1:11" ht="12.75">
      <c r="A63" s="190">
        <v>760199</v>
      </c>
      <c r="B63" s="112">
        <v>36722</v>
      </c>
      <c r="C63" s="112">
        <v>45519</v>
      </c>
      <c r="D63" s="113">
        <v>5.9989</v>
      </c>
      <c r="E63" s="113">
        <v>5.8455</v>
      </c>
      <c r="F63" s="113">
        <v>5.9546</v>
      </c>
      <c r="G63" s="114">
        <v>2056.386109</v>
      </c>
      <c r="H63" s="113">
        <v>5.7963</v>
      </c>
      <c r="I63" s="113">
        <v>6.0711</v>
      </c>
      <c r="J63" s="113">
        <v>5.8234</v>
      </c>
      <c r="K63" s="113">
        <v>6.0982</v>
      </c>
    </row>
    <row r="64" spans="1:11" ht="12.75">
      <c r="A64" s="190">
        <v>760199</v>
      </c>
      <c r="B64" s="112">
        <v>36722</v>
      </c>
      <c r="C64" s="112">
        <v>47710</v>
      </c>
      <c r="D64" s="113">
        <v>6.0305</v>
      </c>
      <c r="E64" s="113">
        <v>5.8</v>
      </c>
      <c r="F64" s="113">
        <v>5.9472</v>
      </c>
      <c r="G64" s="114">
        <v>2061.009137</v>
      </c>
      <c r="H64" s="113">
        <v>5.7977</v>
      </c>
      <c r="I64" s="113">
        <v>6.0573</v>
      </c>
      <c r="J64" s="113">
        <v>5.8265</v>
      </c>
      <c r="K64" s="113">
        <v>6.0861</v>
      </c>
    </row>
    <row r="65" spans="1:11" ht="12.75">
      <c r="A65" s="190">
        <v>760199</v>
      </c>
      <c r="B65" s="112">
        <v>36722</v>
      </c>
      <c r="C65" s="112">
        <v>49444</v>
      </c>
      <c r="D65" s="113">
        <v>5.9098</v>
      </c>
      <c r="E65" s="113">
        <v>5.7375</v>
      </c>
      <c r="F65" s="113">
        <v>5.828</v>
      </c>
      <c r="G65" s="114">
        <v>2063.712534</v>
      </c>
      <c r="H65" s="113">
        <v>5.6726</v>
      </c>
      <c r="I65" s="113">
        <v>5.9271</v>
      </c>
      <c r="J65" s="113">
        <v>5.7118</v>
      </c>
      <c r="K65" s="113">
        <v>5.9664</v>
      </c>
    </row>
    <row r="66" spans="1:11" ht="12.75">
      <c r="A66" s="190">
        <v>760199</v>
      </c>
      <c r="B66" s="112">
        <v>36722</v>
      </c>
      <c r="C66" s="112">
        <v>51363</v>
      </c>
      <c r="D66" s="113">
        <v>5.9211</v>
      </c>
      <c r="E66" s="113">
        <v>5.754</v>
      </c>
      <c r="F66" s="113">
        <v>5.8477</v>
      </c>
      <c r="G66" s="114">
        <v>2091.285594</v>
      </c>
      <c r="H66" s="113">
        <v>5.7028</v>
      </c>
      <c r="I66" s="113">
        <v>5.9541</v>
      </c>
      <c r="J66" s="113">
        <v>5.7345</v>
      </c>
      <c r="K66" s="113">
        <v>5.986</v>
      </c>
    </row>
    <row r="67" spans="1:11" ht="12.75">
      <c r="A67" s="190">
        <v>760199</v>
      </c>
      <c r="B67" s="112">
        <v>36722</v>
      </c>
      <c r="C67" s="112">
        <v>53097</v>
      </c>
      <c r="D67" s="113">
        <v>5.8376</v>
      </c>
      <c r="E67" s="113" t="s">
        <v>79</v>
      </c>
      <c r="F67" s="113">
        <v>5.7683</v>
      </c>
      <c r="G67" s="114">
        <v>2088.313647</v>
      </c>
      <c r="H67" s="113">
        <v>5.6276</v>
      </c>
      <c r="I67" s="113">
        <v>5.8769</v>
      </c>
      <c r="J67" s="113">
        <v>5.657</v>
      </c>
      <c r="K67" s="113">
        <v>5.9065</v>
      </c>
    </row>
    <row r="68" spans="1:11" ht="12.75">
      <c r="A68" s="191">
        <v>760199</v>
      </c>
      <c r="B68" s="117">
        <v>36722</v>
      </c>
      <c r="C68" s="117">
        <v>55015</v>
      </c>
      <c r="D68" s="118">
        <v>5.8977</v>
      </c>
      <c r="E68" s="118">
        <v>5.728</v>
      </c>
      <c r="F68" s="118">
        <v>5.8205</v>
      </c>
      <c r="G68" s="119">
        <v>2104.420643</v>
      </c>
      <c r="H68" s="118">
        <v>5.6842</v>
      </c>
      <c r="I68" s="118">
        <v>5.9324</v>
      </c>
      <c r="J68" s="118">
        <v>5.7103</v>
      </c>
      <c r="K68" s="118">
        <v>5.9588</v>
      </c>
    </row>
    <row r="69" spans="1:11" ht="12.75">
      <c r="A69" s="99" t="s">
        <v>65</v>
      </c>
      <c r="B69" s="100"/>
      <c r="C69" s="100"/>
      <c r="D69" s="101"/>
      <c r="E69" s="101"/>
      <c r="F69" s="101"/>
      <c r="G69" s="101"/>
      <c r="H69" s="102"/>
      <c r="I69" s="102"/>
      <c r="J69" s="102"/>
      <c r="K69" s="103" t="s">
        <v>144</v>
      </c>
    </row>
    <row r="70" spans="1:11" ht="12.75">
      <c r="A70" s="105"/>
      <c r="B70" s="106"/>
      <c r="C70" s="106"/>
      <c r="D70" s="107"/>
      <c r="E70" s="107"/>
      <c r="F70" s="107"/>
      <c r="G70" s="107"/>
      <c r="H70" s="108"/>
      <c r="I70" s="108"/>
      <c r="J70" s="108"/>
      <c r="K70" s="109"/>
    </row>
    <row r="71" spans="1:11" ht="12.75">
      <c r="A71" s="349" t="s">
        <v>66</v>
      </c>
      <c r="B71" s="350"/>
      <c r="C71" s="351" t="s">
        <v>82</v>
      </c>
      <c r="D71" s="350"/>
      <c r="E71" s="350"/>
      <c r="F71" s="350"/>
      <c r="G71" s="350"/>
      <c r="H71" s="350"/>
      <c r="I71" s="350"/>
      <c r="J71" s="350"/>
      <c r="K71" s="350"/>
    </row>
    <row r="72" spans="1:11" ht="12.75">
      <c r="A72" s="352" t="s">
        <v>68</v>
      </c>
      <c r="B72" s="353" t="s">
        <v>69</v>
      </c>
      <c r="C72" s="353" t="s">
        <v>70</v>
      </c>
      <c r="D72" s="346" t="s">
        <v>71</v>
      </c>
      <c r="E72" s="346" t="s">
        <v>72</v>
      </c>
      <c r="F72" s="346" t="s">
        <v>73</v>
      </c>
      <c r="G72" s="346" t="s">
        <v>24</v>
      </c>
      <c r="H72" s="348" t="s">
        <v>74</v>
      </c>
      <c r="I72" s="348"/>
      <c r="J72" s="348"/>
      <c r="K72" s="348"/>
    </row>
    <row r="73" spans="1:11" ht="25.5">
      <c r="A73" s="347"/>
      <c r="B73" s="347"/>
      <c r="C73" s="347"/>
      <c r="D73" s="347"/>
      <c r="E73" s="347"/>
      <c r="F73" s="347"/>
      <c r="G73" s="347"/>
      <c r="H73" s="110" t="s">
        <v>75</v>
      </c>
      <c r="I73" s="110" t="s">
        <v>76</v>
      </c>
      <c r="J73" s="110" t="s">
        <v>77</v>
      </c>
      <c r="K73" s="110" t="s">
        <v>78</v>
      </c>
    </row>
    <row r="74" spans="1:11" ht="12.75">
      <c r="A74" s="190">
        <v>950199</v>
      </c>
      <c r="B74" s="112">
        <v>38504</v>
      </c>
      <c r="C74" s="112">
        <v>40909</v>
      </c>
      <c r="D74" s="113">
        <v>12.44</v>
      </c>
      <c r="E74" s="113">
        <v>12.39</v>
      </c>
      <c r="F74" s="113">
        <v>12.4243</v>
      </c>
      <c r="G74" s="114">
        <v>989.936323</v>
      </c>
      <c r="H74" s="113">
        <v>12.2348</v>
      </c>
      <c r="I74" s="113">
        <v>12.5486</v>
      </c>
      <c r="J74" s="113">
        <v>12.2577</v>
      </c>
      <c r="K74" s="113">
        <v>12.5719</v>
      </c>
    </row>
    <row r="75" spans="1:11" ht="12.75">
      <c r="A75" s="190">
        <v>950199</v>
      </c>
      <c r="B75" s="112">
        <v>39269</v>
      </c>
      <c r="C75" s="112">
        <v>41275</v>
      </c>
      <c r="D75" s="113">
        <v>12.9216</v>
      </c>
      <c r="E75" s="113">
        <v>12.83</v>
      </c>
      <c r="F75" s="113">
        <v>12.8966</v>
      </c>
      <c r="G75" s="114">
        <v>964.248572</v>
      </c>
      <c r="H75" s="113">
        <v>12.6999</v>
      </c>
      <c r="I75" s="113">
        <v>13.0634</v>
      </c>
      <c r="J75" s="113">
        <v>12.751</v>
      </c>
      <c r="K75" s="113">
        <v>13.1145</v>
      </c>
    </row>
    <row r="76" spans="1:11" ht="12.75">
      <c r="A76" s="190">
        <v>950199</v>
      </c>
      <c r="B76" s="112">
        <v>38842</v>
      </c>
      <c r="C76" s="112">
        <v>41640</v>
      </c>
      <c r="D76" s="113">
        <v>12.9171</v>
      </c>
      <c r="E76" s="113">
        <v>12.83</v>
      </c>
      <c r="F76" s="113">
        <v>12.8949</v>
      </c>
      <c r="G76" s="114">
        <v>944.07988</v>
      </c>
      <c r="H76" s="113">
        <v>12.6643</v>
      </c>
      <c r="I76" s="113">
        <v>13.0539</v>
      </c>
      <c r="J76" s="113">
        <v>12.7344</v>
      </c>
      <c r="K76" s="113">
        <v>13.1238</v>
      </c>
    </row>
    <row r="77" spans="1:11" ht="12.75">
      <c r="A77" s="190">
        <v>950199</v>
      </c>
      <c r="B77" s="112">
        <v>40424</v>
      </c>
      <c r="C77" s="112">
        <v>42005</v>
      </c>
      <c r="D77" s="113">
        <v>13.1876</v>
      </c>
      <c r="E77" s="113">
        <v>12.81</v>
      </c>
      <c r="F77" s="113">
        <v>12.9014</v>
      </c>
      <c r="G77" s="114">
        <v>926.041493</v>
      </c>
      <c r="H77" s="113">
        <v>12.6594</v>
      </c>
      <c r="I77" s="113">
        <v>13.0967</v>
      </c>
      <c r="J77" s="113">
        <v>12.7299</v>
      </c>
      <c r="K77" s="113">
        <v>13.167</v>
      </c>
    </row>
    <row r="78" spans="1:11" ht="12.75">
      <c r="A78" s="190">
        <v>950199</v>
      </c>
      <c r="B78" s="112">
        <v>39087</v>
      </c>
      <c r="C78" s="112">
        <v>42736</v>
      </c>
      <c r="D78" s="113">
        <v>12.9</v>
      </c>
      <c r="E78" s="113">
        <v>12.73</v>
      </c>
      <c r="F78" s="113">
        <v>12.8614</v>
      </c>
      <c r="G78" s="114">
        <v>898.877919</v>
      </c>
      <c r="H78" s="113">
        <v>12.5481</v>
      </c>
      <c r="I78" s="113">
        <v>13.0741</v>
      </c>
      <c r="J78" s="113">
        <v>12.6391</v>
      </c>
      <c r="K78" s="113">
        <v>13.1649</v>
      </c>
    </row>
    <row r="79" spans="1:11" ht="12.75">
      <c r="A79" s="191">
        <v>950199</v>
      </c>
      <c r="B79" s="117">
        <v>40214</v>
      </c>
      <c r="C79" s="117">
        <v>44197</v>
      </c>
      <c r="D79" s="118">
        <v>12.8986</v>
      </c>
      <c r="E79" s="118">
        <v>12.72</v>
      </c>
      <c r="F79" s="118">
        <v>12.8443</v>
      </c>
      <c r="G79" s="119">
        <v>859.888049</v>
      </c>
      <c r="H79" s="118">
        <v>12.5183</v>
      </c>
      <c r="I79" s="118">
        <v>13.1174</v>
      </c>
      <c r="J79" s="118">
        <v>12.5867</v>
      </c>
      <c r="K79" s="118">
        <v>13.1854</v>
      </c>
    </row>
  </sheetData>
  <sheetProtection/>
  <mergeCells count="51">
    <mergeCell ref="A71:B71"/>
    <mergeCell ref="G27:G28"/>
    <mergeCell ref="F72:F73"/>
    <mergeCell ref="F51:F52"/>
    <mergeCell ref="E72:E73"/>
    <mergeCell ref="G72:G73"/>
    <mergeCell ref="A14:K14"/>
    <mergeCell ref="A50:B50"/>
    <mergeCell ref="C50:K50"/>
    <mergeCell ref="A51:A52"/>
    <mergeCell ref="B51:B52"/>
    <mergeCell ref="H51:K51"/>
    <mergeCell ref="C71:K71"/>
    <mergeCell ref="A26:B26"/>
    <mergeCell ref="C26:K26"/>
    <mergeCell ref="D18:D19"/>
    <mergeCell ref="A17:B17"/>
    <mergeCell ref="C17:K17"/>
    <mergeCell ref="A18:A19"/>
    <mergeCell ref="B18:B19"/>
    <mergeCell ref="C18:C19"/>
    <mergeCell ref="F18:F19"/>
    <mergeCell ref="D72:D73"/>
    <mergeCell ref="H72:K72"/>
    <mergeCell ref="A72:A73"/>
    <mergeCell ref="B72:B73"/>
    <mergeCell ref="C72:C73"/>
    <mergeCell ref="F27:F28"/>
    <mergeCell ref="A27:A28"/>
    <mergeCell ref="B27:B28"/>
    <mergeCell ref="C27:C28"/>
    <mergeCell ref="E4:E5"/>
    <mergeCell ref="D51:D52"/>
    <mergeCell ref="A3:B3"/>
    <mergeCell ref="C3:K3"/>
    <mergeCell ref="A4:A5"/>
    <mergeCell ref="B4:B5"/>
    <mergeCell ref="C4:C5"/>
    <mergeCell ref="C51:C52"/>
    <mergeCell ref="G18:G19"/>
    <mergeCell ref="E51:E52"/>
    <mergeCell ref="D27:D28"/>
    <mergeCell ref="G51:G52"/>
    <mergeCell ref="D4:D5"/>
    <mergeCell ref="H27:K27"/>
    <mergeCell ref="H4:K4"/>
    <mergeCell ref="E18:E19"/>
    <mergeCell ref="G4:G5"/>
    <mergeCell ref="H18:K18"/>
    <mergeCell ref="F4:F5"/>
    <mergeCell ref="E27:E28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8"/>
  <dimension ref="A1:AE12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4.00390625" style="242" customWidth="1"/>
    <col min="2" max="5" width="9.140625" style="242" customWidth="1"/>
    <col min="6" max="6" width="10.140625" style="242" bestFit="1" customWidth="1"/>
    <col min="7" max="13" width="9.140625" style="242" customWidth="1"/>
    <col min="14" max="20" width="10.140625" style="242" bestFit="1" customWidth="1"/>
    <col min="21" max="21" width="10.140625" style="242" customWidth="1"/>
    <col min="22" max="25" width="10.140625" style="242" bestFit="1" customWidth="1"/>
    <col min="26" max="26" width="10.140625" style="242" customWidth="1"/>
    <col min="27" max="29" width="10.140625" style="242" bestFit="1" customWidth="1"/>
    <col min="30" max="16384" width="9.140625" style="242" customWidth="1"/>
  </cols>
  <sheetData>
    <row r="1" spans="1:27" ht="12.75">
      <c r="A1" s="243"/>
      <c r="B1" s="356" t="s">
        <v>96</v>
      </c>
      <c r="C1" s="356"/>
      <c r="D1" s="356"/>
      <c r="E1" s="356"/>
      <c r="F1" s="356"/>
      <c r="G1" s="356"/>
      <c r="H1" s="245"/>
      <c r="O1" s="245" t="s">
        <v>54</v>
      </c>
      <c r="P1" s="246"/>
      <c r="Q1" s="246"/>
      <c r="R1" s="246"/>
      <c r="S1" s="246"/>
      <c r="T1" s="246"/>
      <c r="V1" s="246"/>
      <c r="W1" s="246"/>
      <c r="X1" s="246"/>
      <c r="Y1" s="245" t="s">
        <v>97</v>
      </c>
      <c r="Z1" s="245"/>
      <c r="AA1" s="246"/>
    </row>
    <row r="2" spans="1:29" ht="12.75">
      <c r="A2" s="247"/>
      <c r="B2" s="248">
        <v>40544</v>
      </c>
      <c r="C2" s="248">
        <v>40634</v>
      </c>
      <c r="D2" s="248">
        <v>40725</v>
      </c>
      <c r="E2" s="248">
        <v>40817</v>
      </c>
      <c r="F2" s="248">
        <v>40909</v>
      </c>
      <c r="G2" s="248">
        <v>41000</v>
      </c>
      <c r="H2" s="248">
        <v>41091</v>
      </c>
      <c r="I2" s="248">
        <v>41275</v>
      </c>
      <c r="J2" s="248">
        <v>41365</v>
      </c>
      <c r="K2" s="248">
        <v>41456</v>
      </c>
      <c r="L2" s="248">
        <v>42005</v>
      </c>
      <c r="N2" s="248" t="s">
        <v>89</v>
      </c>
      <c r="O2" s="248" t="s">
        <v>90</v>
      </c>
      <c r="P2" s="248" t="s">
        <v>91</v>
      </c>
      <c r="Q2" s="248" t="s">
        <v>92</v>
      </c>
      <c r="R2" s="248" t="s">
        <v>136</v>
      </c>
      <c r="S2" s="248" t="s">
        <v>93</v>
      </c>
      <c r="T2" s="248" t="s">
        <v>94</v>
      </c>
      <c r="U2" s="248"/>
      <c r="V2" s="249">
        <v>40678</v>
      </c>
      <c r="W2" s="249">
        <v>40862</v>
      </c>
      <c r="X2" s="249">
        <v>41136</v>
      </c>
      <c r="Y2" s="249">
        <v>41409</v>
      </c>
      <c r="Z2" s="249">
        <v>41774</v>
      </c>
      <c r="AA2" s="249">
        <v>42139</v>
      </c>
      <c r="AB2" s="249">
        <v>42870</v>
      </c>
      <c r="AC2" s="249">
        <v>53097</v>
      </c>
    </row>
    <row r="3" spans="1:29" ht="12.75">
      <c r="A3" s="237">
        <v>40452</v>
      </c>
      <c r="B3" s="238">
        <v>3</v>
      </c>
      <c r="C3" s="238">
        <v>2</v>
      </c>
      <c r="D3" s="238">
        <v>4</v>
      </c>
      <c r="E3" s="238">
        <v>5</v>
      </c>
      <c r="F3" s="240" t="s">
        <v>126</v>
      </c>
      <c r="G3" s="240" t="s">
        <v>126</v>
      </c>
      <c r="H3" s="238">
        <v>11</v>
      </c>
      <c r="I3" s="238">
        <v>12</v>
      </c>
      <c r="J3" s="240" t="s">
        <v>126</v>
      </c>
      <c r="K3" s="240" t="s">
        <v>126</v>
      </c>
      <c r="L3" s="240" t="s">
        <v>126</v>
      </c>
      <c r="N3" s="238">
        <v>2.5</v>
      </c>
      <c r="O3" s="238">
        <v>7</v>
      </c>
      <c r="P3" s="238">
        <v>12</v>
      </c>
      <c r="Q3" s="238">
        <v>14</v>
      </c>
      <c r="R3" s="238">
        <v>17</v>
      </c>
      <c r="S3" s="238">
        <v>18.5</v>
      </c>
      <c r="T3" s="238">
        <v>24</v>
      </c>
      <c r="U3" s="238"/>
      <c r="V3" s="196">
        <v>4.1483</v>
      </c>
      <c r="W3" s="196">
        <v>5.2696</v>
      </c>
      <c r="X3" s="196">
        <v>5.93</v>
      </c>
      <c r="Y3" s="196">
        <v>6.1588</v>
      </c>
      <c r="Z3" s="196" t="s">
        <v>126</v>
      </c>
      <c r="AA3" s="196">
        <v>6.1501</v>
      </c>
      <c r="AB3" s="196">
        <v>6.0312</v>
      </c>
      <c r="AC3" s="196">
        <v>5.9245</v>
      </c>
    </row>
    <row r="4" spans="1:29" ht="12.75">
      <c r="A4" s="237">
        <v>40455</v>
      </c>
      <c r="B4" s="238">
        <v>3</v>
      </c>
      <c r="C4" s="238">
        <v>1.5</v>
      </c>
      <c r="D4" s="238">
        <v>4</v>
      </c>
      <c r="E4" s="238">
        <v>5</v>
      </c>
      <c r="F4" s="240" t="s">
        <v>126</v>
      </c>
      <c r="G4" s="240" t="s">
        <v>126</v>
      </c>
      <c r="H4" s="238">
        <v>10.5</v>
      </c>
      <c r="I4" s="238">
        <v>12</v>
      </c>
      <c r="J4" s="240" t="s">
        <v>126</v>
      </c>
      <c r="K4" s="240" t="s">
        <v>126</v>
      </c>
      <c r="L4" s="240" t="s">
        <v>126</v>
      </c>
      <c r="N4" s="238">
        <v>2.5</v>
      </c>
      <c r="O4" s="238">
        <v>7</v>
      </c>
      <c r="P4" s="238">
        <v>12</v>
      </c>
      <c r="Q4" s="238">
        <v>14.5</v>
      </c>
      <c r="R4" s="238">
        <v>17</v>
      </c>
      <c r="S4" s="238">
        <v>18.5</v>
      </c>
      <c r="T4" s="238">
        <v>23.5</v>
      </c>
      <c r="U4" s="238"/>
      <c r="V4" s="196">
        <v>4.0935</v>
      </c>
      <c r="W4" s="196">
        <v>5.2348</v>
      </c>
      <c r="X4" s="196">
        <v>5.95</v>
      </c>
      <c r="Y4" s="196">
        <v>6.1416</v>
      </c>
      <c r="Z4" s="196" t="s">
        <v>126</v>
      </c>
      <c r="AA4" s="196">
        <v>6.14</v>
      </c>
      <c r="AB4" s="196">
        <v>6.014</v>
      </c>
      <c r="AC4" s="196">
        <v>5.9197</v>
      </c>
    </row>
    <row r="5" spans="1:29" ht="12.75">
      <c r="A5" s="237">
        <v>40456</v>
      </c>
      <c r="B5" s="238">
        <v>3</v>
      </c>
      <c r="C5" s="238">
        <v>1.5</v>
      </c>
      <c r="D5" s="238">
        <v>3.5</v>
      </c>
      <c r="E5" s="238">
        <v>4.5</v>
      </c>
      <c r="F5" s="240" t="s">
        <v>126</v>
      </c>
      <c r="G5" s="240" t="s">
        <v>126</v>
      </c>
      <c r="H5" s="238">
        <v>11</v>
      </c>
      <c r="I5" s="238">
        <v>12</v>
      </c>
      <c r="J5" s="240" t="s">
        <v>126</v>
      </c>
      <c r="K5" s="240" t="s">
        <v>126</v>
      </c>
      <c r="L5" s="240" t="s">
        <v>126</v>
      </c>
      <c r="N5" s="238">
        <v>2.5</v>
      </c>
      <c r="O5" s="238">
        <v>7.5</v>
      </c>
      <c r="P5" s="238">
        <v>12.5</v>
      </c>
      <c r="Q5" s="238">
        <v>14</v>
      </c>
      <c r="R5" s="238">
        <v>16.5</v>
      </c>
      <c r="S5" s="238">
        <v>18.5</v>
      </c>
      <c r="T5" s="238">
        <v>23.5</v>
      </c>
      <c r="U5" s="238"/>
      <c r="V5" s="196">
        <v>4.001</v>
      </c>
      <c r="W5" s="196">
        <v>5.1936</v>
      </c>
      <c r="X5" s="196">
        <v>5.935</v>
      </c>
      <c r="Y5" s="196">
        <v>6.1475</v>
      </c>
      <c r="Z5" s="196" t="s">
        <v>126</v>
      </c>
      <c r="AA5" s="196">
        <v>6.14</v>
      </c>
      <c r="AB5" s="196">
        <v>6.0105</v>
      </c>
      <c r="AC5" s="196">
        <v>5.9218</v>
      </c>
    </row>
    <row r="6" spans="1:29" ht="12.75">
      <c r="A6" s="237">
        <v>40457</v>
      </c>
      <c r="B6" s="238">
        <v>3</v>
      </c>
      <c r="C6" s="238">
        <v>1.5</v>
      </c>
      <c r="D6" s="238">
        <v>3.5</v>
      </c>
      <c r="E6" s="238">
        <v>5</v>
      </c>
      <c r="F6" s="240" t="s">
        <v>126</v>
      </c>
      <c r="G6" s="240" t="s">
        <v>126</v>
      </c>
      <c r="H6" s="238">
        <v>10.5</v>
      </c>
      <c r="I6" s="238">
        <v>12</v>
      </c>
      <c r="J6" s="240" t="s">
        <v>126</v>
      </c>
      <c r="K6" s="240" t="s">
        <v>126</v>
      </c>
      <c r="L6" s="240" t="s">
        <v>126</v>
      </c>
      <c r="N6" s="238">
        <v>2.5</v>
      </c>
      <c r="O6" s="238">
        <v>7</v>
      </c>
      <c r="P6" s="238">
        <v>12.5</v>
      </c>
      <c r="Q6" s="238">
        <v>14</v>
      </c>
      <c r="R6" s="238">
        <v>17</v>
      </c>
      <c r="S6" s="238">
        <v>18.5</v>
      </c>
      <c r="T6" s="238">
        <v>23.5</v>
      </c>
      <c r="U6" s="238"/>
      <c r="V6" s="196">
        <v>3.9511</v>
      </c>
      <c r="W6" s="196">
        <v>5.2</v>
      </c>
      <c r="X6" s="196">
        <v>5.9</v>
      </c>
      <c r="Y6" s="196">
        <v>6.0943</v>
      </c>
      <c r="Z6" s="196" t="s">
        <v>126</v>
      </c>
      <c r="AA6" s="196">
        <v>6.0613</v>
      </c>
      <c r="AB6" s="196">
        <v>5.9603</v>
      </c>
      <c r="AC6" s="196">
        <v>5.8945</v>
      </c>
    </row>
    <row r="7" spans="1:29" ht="12.75">
      <c r="A7" s="237">
        <v>40458</v>
      </c>
      <c r="B7" s="238">
        <v>3</v>
      </c>
      <c r="C7" s="238">
        <v>1.5</v>
      </c>
      <c r="D7" s="238">
        <v>3.5</v>
      </c>
      <c r="E7" s="238">
        <v>5</v>
      </c>
      <c r="F7" s="240" t="s">
        <v>126</v>
      </c>
      <c r="G7" s="240" t="s">
        <v>126</v>
      </c>
      <c r="H7" s="238">
        <v>11</v>
      </c>
      <c r="I7" s="238">
        <v>12.5</v>
      </c>
      <c r="J7" s="240" t="s">
        <v>126</v>
      </c>
      <c r="K7" s="240" t="s">
        <v>126</v>
      </c>
      <c r="L7" s="240" t="s">
        <v>126</v>
      </c>
      <c r="N7" s="238">
        <v>2.5</v>
      </c>
      <c r="O7" s="238">
        <v>7.5</v>
      </c>
      <c r="P7" s="238">
        <v>12.5</v>
      </c>
      <c r="Q7" s="238">
        <v>14</v>
      </c>
      <c r="R7" s="238">
        <v>17.5</v>
      </c>
      <c r="S7" s="238">
        <v>18</v>
      </c>
      <c r="T7" s="238">
        <v>23.5</v>
      </c>
      <c r="U7" s="238"/>
      <c r="V7" s="196">
        <v>3.9982</v>
      </c>
      <c r="W7" s="196">
        <v>5.1491</v>
      </c>
      <c r="X7" s="196">
        <v>5.8068</v>
      </c>
      <c r="Y7" s="196">
        <v>6.0533</v>
      </c>
      <c r="Z7" s="196" t="s">
        <v>126</v>
      </c>
      <c r="AA7" s="196">
        <v>6.0502</v>
      </c>
      <c r="AB7" s="196">
        <v>5.9526</v>
      </c>
      <c r="AC7" s="196">
        <v>5.8868</v>
      </c>
    </row>
    <row r="8" spans="1:29" ht="12.75">
      <c r="A8" s="237">
        <v>40459</v>
      </c>
      <c r="B8" s="238">
        <v>3</v>
      </c>
      <c r="C8" s="238">
        <v>1.5</v>
      </c>
      <c r="D8" s="238">
        <v>3</v>
      </c>
      <c r="E8" s="238">
        <v>5</v>
      </c>
      <c r="F8" s="240" t="s">
        <v>126</v>
      </c>
      <c r="G8" s="240" t="s">
        <v>126</v>
      </c>
      <c r="H8" s="238">
        <v>11</v>
      </c>
      <c r="I8" s="238">
        <v>12.5</v>
      </c>
      <c r="J8" s="240" t="s">
        <v>126</v>
      </c>
      <c r="K8" s="240" t="s">
        <v>126</v>
      </c>
      <c r="L8" s="240" t="s">
        <v>126</v>
      </c>
      <c r="N8" s="238">
        <v>2.5</v>
      </c>
      <c r="O8" s="238">
        <v>8</v>
      </c>
      <c r="P8" s="238">
        <v>13</v>
      </c>
      <c r="Q8" s="238">
        <v>14</v>
      </c>
      <c r="R8" s="238">
        <v>17.5</v>
      </c>
      <c r="S8" s="238">
        <v>18.5</v>
      </c>
      <c r="T8" s="238">
        <v>23.5</v>
      </c>
      <c r="U8" s="238"/>
      <c r="V8" s="196">
        <v>3.9192</v>
      </c>
      <c r="W8" s="196">
        <v>5.0954</v>
      </c>
      <c r="X8" s="196">
        <v>5.8202</v>
      </c>
      <c r="Y8" s="196">
        <v>6.0692</v>
      </c>
      <c r="Z8" s="196" t="s">
        <v>126</v>
      </c>
      <c r="AA8" s="196">
        <v>6.059</v>
      </c>
      <c r="AB8" s="196">
        <v>5.9593</v>
      </c>
      <c r="AC8" s="196">
        <v>5.8883</v>
      </c>
    </row>
    <row r="9" spans="1:29" ht="12.75">
      <c r="A9" s="237">
        <v>40462</v>
      </c>
      <c r="B9" s="238">
        <v>3</v>
      </c>
      <c r="C9" s="238">
        <v>1.5</v>
      </c>
      <c r="D9" s="238">
        <v>4.5</v>
      </c>
      <c r="E9" s="238">
        <v>5</v>
      </c>
      <c r="F9" s="240" t="s">
        <v>126</v>
      </c>
      <c r="G9" s="240" t="s">
        <v>126</v>
      </c>
      <c r="H9" s="238">
        <v>11</v>
      </c>
      <c r="I9" s="238">
        <v>13</v>
      </c>
      <c r="J9" s="240" t="s">
        <v>126</v>
      </c>
      <c r="K9" s="240" t="s">
        <v>126</v>
      </c>
      <c r="L9" s="240" t="s">
        <v>126</v>
      </c>
      <c r="N9" s="238">
        <v>2.5</v>
      </c>
      <c r="O9" s="238">
        <v>8</v>
      </c>
      <c r="P9" s="238">
        <v>13</v>
      </c>
      <c r="Q9" s="238">
        <v>14</v>
      </c>
      <c r="R9" s="238">
        <v>17.5</v>
      </c>
      <c r="S9" s="238">
        <v>19</v>
      </c>
      <c r="T9" s="238">
        <v>23.5</v>
      </c>
      <c r="U9" s="238"/>
      <c r="V9" s="196">
        <v>3.9116</v>
      </c>
      <c r="W9" s="196">
        <v>5.0919</v>
      </c>
      <c r="X9" s="196">
        <v>5.8101</v>
      </c>
      <c r="Y9" s="196">
        <v>6.0698</v>
      </c>
      <c r="Z9" s="196" t="s">
        <v>126</v>
      </c>
      <c r="AA9" s="196">
        <v>6.0599</v>
      </c>
      <c r="AB9" s="196">
        <v>5.9591</v>
      </c>
      <c r="AC9" s="196">
        <v>5.8858</v>
      </c>
    </row>
    <row r="10" spans="1:29" ht="12.75">
      <c r="A10" s="237">
        <v>40464</v>
      </c>
      <c r="B10" s="238">
        <v>3</v>
      </c>
      <c r="C10" s="238">
        <v>2</v>
      </c>
      <c r="D10" s="238">
        <v>5</v>
      </c>
      <c r="E10" s="238">
        <v>6</v>
      </c>
      <c r="F10" s="240" t="s">
        <v>126</v>
      </c>
      <c r="G10" s="240" t="s">
        <v>126</v>
      </c>
      <c r="H10" s="238">
        <v>11</v>
      </c>
      <c r="I10" s="238">
        <v>12.5</v>
      </c>
      <c r="J10" s="240" t="s">
        <v>126</v>
      </c>
      <c r="K10" s="240" t="s">
        <v>126</v>
      </c>
      <c r="L10" s="240" t="s">
        <v>126</v>
      </c>
      <c r="N10" s="238">
        <v>3</v>
      </c>
      <c r="O10" s="238">
        <v>8</v>
      </c>
      <c r="P10" s="238">
        <v>13</v>
      </c>
      <c r="Q10" s="238">
        <v>14</v>
      </c>
      <c r="R10" s="238">
        <v>17.5</v>
      </c>
      <c r="S10" s="238">
        <v>19</v>
      </c>
      <c r="T10" s="238">
        <v>23.5</v>
      </c>
      <c r="U10" s="238"/>
      <c r="V10" s="196">
        <v>3.9235</v>
      </c>
      <c r="W10" s="196">
        <v>5.0299</v>
      </c>
      <c r="X10" s="196">
        <v>5.7326</v>
      </c>
      <c r="Y10" s="196">
        <v>6.0133</v>
      </c>
      <c r="Z10" s="196" t="s">
        <v>126</v>
      </c>
      <c r="AA10" s="196">
        <v>6.028</v>
      </c>
      <c r="AB10" s="196">
        <v>5.9203</v>
      </c>
      <c r="AC10" s="196">
        <v>5.8438</v>
      </c>
    </row>
    <row r="11" spans="1:29" ht="12.75">
      <c r="A11" s="237">
        <v>40465</v>
      </c>
      <c r="B11" s="238">
        <v>3</v>
      </c>
      <c r="C11" s="238">
        <v>2</v>
      </c>
      <c r="D11" s="238">
        <v>5</v>
      </c>
      <c r="E11" s="238">
        <v>6</v>
      </c>
      <c r="F11" s="240" t="s">
        <v>126</v>
      </c>
      <c r="G11" s="240" t="s">
        <v>126</v>
      </c>
      <c r="H11" s="238">
        <v>11</v>
      </c>
      <c r="I11" s="238">
        <v>13</v>
      </c>
      <c r="J11" s="240" t="s">
        <v>126</v>
      </c>
      <c r="K11" s="240" t="s">
        <v>126</v>
      </c>
      <c r="L11" s="240" t="s">
        <v>126</v>
      </c>
      <c r="N11" s="238">
        <v>3</v>
      </c>
      <c r="O11" s="238">
        <v>8.5</v>
      </c>
      <c r="P11" s="238">
        <v>13</v>
      </c>
      <c r="Q11" s="238">
        <v>14</v>
      </c>
      <c r="R11" s="238">
        <v>17.5</v>
      </c>
      <c r="S11" s="238">
        <v>19</v>
      </c>
      <c r="T11" s="238">
        <v>24</v>
      </c>
      <c r="U11" s="238"/>
      <c r="V11" s="196">
        <v>3.89</v>
      </c>
      <c r="W11" s="196">
        <v>4.99</v>
      </c>
      <c r="X11" s="196">
        <v>5.6058</v>
      </c>
      <c r="Y11" s="196">
        <v>5.8489</v>
      </c>
      <c r="Z11" s="196" t="s">
        <v>126</v>
      </c>
      <c r="AA11" s="196">
        <v>5.8468</v>
      </c>
      <c r="AB11" s="196">
        <v>5.7715</v>
      </c>
      <c r="AC11" s="196">
        <v>5.7447</v>
      </c>
    </row>
    <row r="12" spans="1:29" ht="12.75">
      <c r="A12" s="237">
        <v>40466</v>
      </c>
      <c r="B12" s="238">
        <v>3</v>
      </c>
      <c r="C12" s="238">
        <v>2</v>
      </c>
      <c r="D12" s="238">
        <v>5</v>
      </c>
      <c r="E12" s="238">
        <v>6</v>
      </c>
      <c r="F12" s="240" t="s">
        <v>126</v>
      </c>
      <c r="G12" s="240" t="s">
        <v>126</v>
      </c>
      <c r="H12" s="238">
        <v>11</v>
      </c>
      <c r="I12" s="238">
        <v>13.5</v>
      </c>
      <c r="J12" s="240" t="s">
        <v>126</v>
      </c>
      <c r="K12" s="240" t="s">
        <v>126</v>
      </c>
      <c r="L12" s="240" t="s">
        <v>126</v>
      </c>
      <c r="N12" s="238">
        <v>3</v>
      </c>
      <c r="O12" s="238">
        <v>9</v>
      </c>
      <c r="P12" s="238">
        <v>13.5</v>
      </c>
      <c r="Q12" s="238">
        <v>14</v>
      </c>
      <c r="R12" s="238">
        <v>18</v>
      </c>
      <c r="S12" s="238">
        <v>20</v>
      </c>
      <c r="T12" s="238">
        <v>24.5</v>
      </c>
      <c r="U12" s="238"/>
      <c r="V12" s="196">
        <v>3.9004</v>
      </c>
      <c r="W12" s="196">
        <v>5.0312</v>
      </c>
      <c r="X12" s="196">
        <v>5.5617</v>
      </c>
      <c r="Y12" s="196">
        <v>5.8131</v>
      </c>
      <c r="Z12" s="196" t="s">
        <v>126</v>
      </c>
      <c r="AA12" s="196">
        <v>5.8106</v>
      </c>
      <c r="AB12" s="196">
        <v>5.7333</v>
      </c>
      <c r="AC12" s="196">
        <v>5.72</v>
      </c>
    </row>
    <row r="13" spans="1:29" ht="12.75">
      <c r="A13" s="237">
        <v>40469</v>
      </c>
      <c r="B13" s="238">
        <v>3.5</v>
      </c>
      <c r="C13" s="238">
        <v>3</v>
      </c>
      <c r="D13" s="238">
        <v>6</v>
      </c>
      <c r="E13" s="238">
        <v>6</v>
      </c>
      <c r="F13" s="240" t="s">
        <v>126</v>
      </c>
      <c r="G13" s="240" t="s">
        <v>126</v>
      </c>
      <c r="H13" s="238">
        <v>11</v>
      </c>
      <c r="I13" s="238">
        <v>13.5</v>
      </c>
      <c r="J13" s="240" t="s">
        <v>126</v>
      </c>
      <c r="K13" s="240" t="s">
        <v>126</v>
      </c>
      <c r="L13" s="240" t="s">
        <v>126</v>
      </c>
      <c r="N13" s="238">
        <v>3</v>
      </c>
      <c r="O13" s="238">
        <v>9.5</v>
      </c>
      <c r="P13" s="238">
        <v>13.5</v>
      </c>
      <c r="Q13" s="238">
        <v>15</v>
      </c>
      <c r="R13" s="238">
        <v>18.5</v>
      </c>
      <c r="S13" s="238">
        <v>20</v>
      </c>
      <c r="T13" s="238">
        <v>26.5</v>
      </c>
      <c r="U13" s="238"/>
      <c r="V13" s="196">
        <v>3.9059</v>
      </c>
      <c r="W13" s="196">
        <v>5.0744</v>
      </c>
      <c r="X13" s="196">
        <v>5.6026</v>
      </c>
      <c r="Y13" s="196">
        <v>5.8703</v>
      </c>
      <c r="Z13" s="196" t="s">
        <v>126</v>
      </c>
      <c r="AA13" s="196">
        <v>5.8582</v>
      </c>
      <c r="AB13" s="196">
        <v>5.7765</v>
      </c>
      <c r="AC13" s="196">
        <v>5.7525</v>
      </c>
    </row>
    <row r="14" spans="1:29" ht="12.75">
      <c r="A14" s="237">
        <v>40470</v>
      </c>
      <c r="B14" s="238">
        <v>3.5</v>
      </c>
      <c r="C14" s="238">
        <v>3</v>
      </c>
      <c r="D14" s="238">
        <v>6</v>
      </c>
      <c r="E14" s="238">
        <v>6.5</v>
      </c>
      <c r="F14" s="240" t="s">
        <v>126</v>
      </c>
      <c r="G14" s="240" t="s">
        <v>126</v>
      </c>
      <c r="H14" s="238">
        <v>11.5</v>
      </c>
      <c r="I14" s="238">
        <v>14</v>
      </c>
      <c r="J14" s="240" t="s">
        <v>126</v>
      </c>
      <c r="K14" s="240" t="s">
        <v>126</v>
      </c>
      <c r="L14" s="240" t="s">
        <v>126</v>
      </c>
      <c r="N14" s="238">
        <v>3</v>
      </c>
      <c r="O14" s="238">
        <v>10.5</v>
      </c>
      <c r="P14" s="238">
        <v>14</v>
      </c>
      <c r="Q14" s="238">
        <v>15</v>
      </c>
      <c r="R14" s="238">
        <v>21</v>
      </c>
      <c r="S14" s="238">
        <v>24.5</v>
      </c>
      <c r="T14" s="238">
        <v>28.5</v>
      </c>
      <c r="U14" s="238"/>
      <c r="V14" s="196">
        <v>3.9562</v>
      </c>
      <c r="W14" s="196">
        <v>5.1993</v>
      </c>
      <c r="X14" s="196">
        <v>5.7187</v>
      </c>
      <c r="Y14" s="196">
        <v>5.9874</v>
      </c>
      <c r="Z14" s="196" t="s">
        <v>126</v>
      </c>
      <c r="AA14" s="196">
        <v>5.9913</v>
      </c>
      <c r="AB14" s="196">
        <v>5.9465</v>
      </c>
      <c r="AC14" s="196">
        <v>5.8601</v>
      </c>
    </row>
    <row r="15" spans="1:29" ht="12.75">
      <c r="A15" s="237">
        <v>40471</v>
      </c>
      <c r="B15" s="238">
        <v>4</v>
      </c>
      <c r="C15" s="238">
        <v>3.5</v>
      </c>
      <c r="D15" s="238">
        <v>7</v>
      </c>
      <c r="E15" s="238">
        <v>7</v>
      </c>
      <c r="F15" s="240" t="s">
        <v>126</v>
      </c>
      <c r="G15" s="240" t="s">
        <v>126</v>
      </c>
      <c r="H15" s="238">
        <v>12</v>
      </c>
      <c r="I15" s="238">
        <v>14</v>
      </c>
      <c r="J15" s="240" t="s">
        <v>126</v>
      </c>
      <c r="K15" s="240" t="s">
        <v>126</v>
      </c>
      <c r="L15" s="240" t="s">
        <v>126</v>
      </c>
      <c r="N15" s="238">
        <v>3</v>
      </c>
      <c r="O15" s="238">
        <v>11</v>
      </c>
      <c r="P15" s="238">
        <v>14.5</v>
      </c>
      <c r="Q15" s="238">
        <v>16</v>
      </c>
      <c r="R15" s="238">
        <v>22.5</v>
      </c>
      <c r="S15" s="238">
        <v>26</v>
      </c>
      <c r="T15" s="238">
        <v>33.5</v>
      </c>
      <c r="U15" s="238"/>
      <c r="V15" s="196">
        <v>3.9562</v>
      </c>
      <c r="W15" s="196">
        <v>5.1993</v>
      </c>
      <c r="X15" s="196">
        <v>5.7187</v>
      </c>
      <c r="Y15" s="196">
        <v>5.9874</v>
      </c>
      <c r="Z15" s="196" t="s">
        <v>126</v>
      </c>
      <c r="AA15" s="196">
        <v>5.9913</v>
      </c>
      <c r="AB15" s="196">
        <v>5.9465</v>
      </c>
      <c r="AC15" s="196">
        <v>5.8601</v>
      </c>
    </row>
    <row r="16" spans="1:29" ht="12.75">
      <c r="A16" s="237">
        <v>40472</v>
      </c>
      <c r="B16" s="238">
        <v>4.5</v>
      </c>
      <c r="C16" s="238">
        <v>4</v>
      </c>
      <c r="D16" s="238">
        <v>6.5</v>
      </c>
      <c r="E16" s="238">
        <v>7.5</v>
      </c>
      <c r="F16" s="240" t="s">
        <v>126</v>
      </c>
      <c r="G16" s="240" t="s">
        <v>126</v>
      </c>
      <c r="H16" s="238">
        <v>12.5</v>
      </c>
      <c r="I16" s="238">
        <v>14.5</v>
      </c>
      <c r="J16" s="240" t="s">
        <v>126</v>
      </c>
      <c r="K16" s="240" t="s">
        <v>126</v>
      </c>
      <c r="L16" s="240" t="s">
        <v>126</v>
      </c>
      <c r="N16" s="238">
        <v>3</v>
      </c>
      <c r="O16" s="238">
        <v>11</v>
      </c>
      <c r="P16" s="238">
        <v>14</v>
      </c>
      <c r="Q16" s="238">
        <v>16</v>
      </c>
      <c r="R16" s="238">
        <v>21.5</v>
      </c>
      <c r="S16" s="238">
        <v>25</v>
      </c>
      <c r="T16" s="238">
        <v>32</v>
      </c>
      <c r="U16" s="238"/>
      <c r="V16" s="196">
        <v>3.8132</v>
      </c>
      <c r="W16" s="196">
        <v>5.1265</v>
      </c>
      <c r="X16" s="196">
        <v>5.5976</v>
      </c>
      <c r="Y16" s="196">
        <v>5.8627</v>
      </c>
      <c r="Z16" s="196" t="s">
        <v>126</v>
      </c>
      <c r="AA16" s="196">
        <v>5.902</v>
      </c>
      <c r="AB16" s="196">
        <v>5.85</v>
      </c>
      <c r="AC16" s="196">
        <v>5.8026</v>
      </c>
    </row>
    <row r="17" spans="1:29" ht="12.75">
      <c r="A17" s="237">
        <v>40473</v>
      </c>
      <c r="B17" s="238">
        <v>5</v>
      </c>
      <c r="C17" s="238">
        <v>4.5</v>
      </c>
      <c r="D17" s="238">
        <v>6.5</v>
      </c>
      <c r="E17" s="238">
        <v>7.5</v>
      </c>
      <c r="F17" s="240" t="s">
        <v>126</v>
      </c>
      <c r="G17" s="240" t="s">
        <v>126</v>
      </c>
      <c r="H17" s="238">
        <v>13</v>
      </c>
      <c r="I17" s="238">
        <v>14.5</v>
      </c>
      <c r="J17" s="240" t="s">
        <v>126</v>
      </c>
      <c r="K17" s="240" t="s">
        <v>126</v>
      </c>
      <c r="L17" s="240" t="s">
        <v>126</v>
      </c>
      <c r="N17" s="238">
        <v>3</v>
      </c>
      <c r="O17" s="238">
        <v>11</v>
      </c>
      <c r="P17" s="238">
        <v>14</v>
      </c>
      <c r="Q17" s="238">
        <v>16</v>
      </c>
      <c r="R17" s="238">
        <v>20.5</v>
      </c>
      <c r="S17" s="238">
        <v>24.5</v>
      </c>
      <c r="T17" s="238">
        <v>32</v>
      </c>
      <c r="U17" s="238"/>
      <c r="V17" s="196">
        <v>3.7619</v>
      </c>
      <c r="W17" s="196">
        <v>5.1452</v>
      </c>
      <c r="X17" s="196">
        <v>5.6327</v>
      </c>
      <c r="Y17" s="196">
        <v>5.9279</v>
      </c>
      <c r="Z17" s="196" t="s">
        <v>126</v>
      </c>
      <c r="AA17" s="196">
        <v>6.0069</v>
      </c>
      <c r="AB17" s="196">
        <v>5.9463</v>
      </c>
      <c r="AC17" s="196">
        <v>5.8729</v>
      </c>
    </row>
    <row r="18" spans="1:29" ht="12.75">
      <c r="A18" s="237">
        <v>40476</v>
      </c>
      <c r="B18" s="238">
        <v>5</v>
      </c>
      <c r="C18" s="238">
        <v>4</v>
      </c>
      <c r="D18" s="238">
        <v>6.5</v>
      </c>
      <c r="E18" s="238">
        <v>7.5</v>
      </c>
      <c r="F18" s="240" t="s">
        <v>126</v>
      </c>
      <c r="G18" s="240" t="s">
        <v>126</v>
      </c>
      <c r="H18" s="238">
        <v>13</v>
      </c>
      <c r="I18" s="238">
        <v>14.5</v>
      </c>
      <c r="J18" s="240" t="s">
        <v>126</v>
      </c>
      <c r="K18" s="240" t="s">
        <v>126</v>
      </c>
      <c r="L18" s="240" t="s">
        <v>126</v>
      </c>
      <c r="N18" s="238">
        <v>3</v>
      </c>
      <c r="O18" s="238">
        <v>11.5</v>
      </c>
      <c r="P18" s="238">
        <v>14</v>
      </c>
      <c r="Q18" s="238">
        <v>16</v>
      </c>
      <c r="R18" s="238">
        <v>20.5</v>
      </c>
      <c r="S18" s="238">
        <v>24.5</v>
      </c>
      <c r="T18" s="238">
        <v>32</v>
      </c>
      <c r="U18" s="238"/>
      <c r="V18" s="196">
        <v>3.7304</v>
      </c>
      <c r="W18" s="196">
        <v>5.1246</v>
      </c>
      <c r="X18" s="196">
        <v>5.6166</v>
      </c>
      <c r="Y18" s="196">
        <v>5.9612</v>
      </c>
      <c r="Z18" s="196" t="s">
        <v>126</v>
      </c>
      <c r="AA18" s="196">
        <v>6.0893</v>
      </c>
      <c r="AB18" s="196">
        <v>6.0536</v>
      </c>
      <c r="AC18" s="196">
        <v>5.9187</v>
      </c>
    </row>
    <row r="19" spans="1:29" s="265" customFormat="1" ht="15">
      <c r="A19" s="262">
        <v>40477</v>
      </c>
      <c r="B19" s="263">
        <v>5.5</v>
      </c>
      <c r="C19" s="263">
        <v>4.5</v>
      </c>
      <c r="D19" s="263">
        <v>6.5</v>
      </c>
      <c r="E19" s="263">
        <v>7.5</v>
      </c>
      <c r="F19" s="264" t="s">
        <v>126</v>
      </c>
      <c r="G19" s="264" t="s">
        <v>126</v>
      </c>
      <c r="H19" s="263">
        <v>13</v>
      </c>
      <c r="I19" s="263">
        <v>15</v>
      </c>
      <c r="J19" s="264" t="s">
        <v>126</v>
      </c>
      <c r="K19" s="264" t="s">
        <v>126</v>
      </c>
      <c r="L19" s="264" t="s">
        <v>126</v>
      </c>
      <c r="N19" s="263">
        <v>3</v>
      </c>
      <c r="O19" s="263">
        <v>11.5</v>
      </c>
      <c r="P19" s="263">
        <v>13</v>
      </c>
      <c r="Q19" s="263">
        <v>15.5</v>
      </c>
      <c r="R19" s="263">
        <v>18.5</v>
      </c>
      <c r="S19" s="263">
        <v>24.5</v>
      </c>
      <c r="T19" s="263">
        <v>33.5</v>
      </c>
      <c r="U19" s="263"/>
      <c r="V19" s="266">
        <v>3.7012</v>
      </c>
      <c r="W19" s="266">
        <v>5.0452</v>
      </c>
      <c r="X19" s="266">
        <v>5.4995</v>
      </c>
      <c r="Y19" s="266">
        <v>5.8675</v>
      </c>
      <c r="Z19" s="266" t="s">
        <v>126</v>
      </c>
      <c r="AA19" s="266">
        <v>5.9704</v>
      </c>
      <c r="AB19" s="266">
        <v>5.9496</v>
      </c>
      <c r="AC19" s="266">
        <v>5.868</v>
      </c>
    </row>
    <row r="20" spans="1:30" ht="12.75">
      <c r="A20" s="237">
        <v>40478</v>
      </c>
      <c r="B20" s="238">
        <v>5.5</v>
      </c>
      <c r="C20" s="238">
        <v>4.5</v>
      </c>
      <c r="D20" s="238">
        <v>7.5</v>
      </c>
      <c r="E20" s="238">
        <v>8</v>
      </c>
      <c r="F20" s="240" t="s">
        <v>126</v>
      </c>
      <c r="G20" s="240" t="s">
        <v>126</v>
      </c>
      <c r="H20" s="238">
        <v>12.5</v>
      </c>
      <c r="I20" s="238">
        <v>14.5</v>
      </c>
      <c r="J20" s="240" t="s">
        <v>126</v>
      </c>
      <c r="K20" s="240" t="s">
        <v>126</v>
      </c>
      <c r="L20" s="240" t="s">
        <v>126</v>
      </c>
      <c r="N20" s="238">
        <v>3</v>
      </c>
      <c r="O20" s="238">
        <v>11</v>
      </c>
      <c r="P20" s="238">
        <v>13</v>
      </c>
      <c r="Q20" s="238">
        <v>15.5</v>
      </c>
      <c r="R20" s="238">
        <v>18.5</v>
      </c>
      <c r="S20" s="238">
        <v>24</v>
      </c>
      <c r="T20" s="238">
        <v>33</v>
      </c>
      <c r="U20" s="238"/>
      <c r="V20" s="196">
        <v>3.603</v>
      </c>
      <c r="W20" s="196">
        <v>4.962</v>
      </c>
      <c r="X20" s="196">
        <v>5.519</v>
      </c>
      <c r="Y20" s="196">
        <v>5.9163</v>
      </c>
      <c r="Z20" s="196" t="s">
        <v>126</v>
      </c>
      <c r="AA20" s="196">
        <v>6.0461</v>
      </c>
      <c r="AB20" s="196">
        <v>6.0148</v>
      </c>
      <c r="AC20" s="196">
        <v>5.9075</v>
      </c>
      <c r="AD20" s="239"/>
    </row>
    <row r="21" spans="1:31" ht="12.75">
      <c r="A21" s="237">
        <v>40479</v>
      </c>
      <c r="B21" s="238">
        <v>5.5</v>
      </c>
      <c r="C21" s="238">
        <v>4.5</v>
      </c>
      <c r="D21" s="238">
        <v>7</v>
      </c>
      <c r="E21" s="238">
        <v>8</v>
      </c>
      <c r="F21" s="240" t="s">
        <v>126</v>
      </c>
      <c r="G21" s="240" t="s">
        <v>126</v>
      </c>
      <c r="H21" s="238">
        <v>12.5</v>
      </c>
      <c r="I21" s="238">
        <v>15</v>
      </c>
      <c r="J21" s="240" t="s">
        <v>126</v>
      </c>
      <c r="K21" s="240" t="s">
        <v>126</v>
      </c>
      <c r="L21" s="240" t="s">
        <v>126</v>
      </c>
      <c r="N21" s="238">
        <v>3</v>
      </c>
      <c r="O21" s="238">
        <v>11</v>
      </c>
      <c r="P21" s="238">
        <v>13</v>
      </c>
      <c r="Q21" s="238">
        <v>15.5</v>
      </c>
      <c r="R21" s="238">
        <v>18.5</v>
      </c>
      <c r="S21" s="238">
        <v>24</v>
      </c>
      <c r="T21" s="238">
        <v>32.5</v>
      </c>
      <c r="U21" s="238"/>
      <c r="V21" s="196">
        <v>3.5367</v>
      </c>
      <c r="W21" s="196">
        <v>4.9435</v>
      </c>
      <c r="X21" s="196">
        <v>5.4975</v>
      </c>
      <c r="Y21" s="196">
        <v>5.9245</v>
      </c>
      <c r="Z21" s="196" t="s">
        <v>126</v>
      </c>
      <c r="AA21" s="196">
        <v>6.0364</v>
      </c>
      <c r="AB21" s="196">
        <v>6.0114</v>
      </c>
      <c r="AC21" s="196">
        <v>5.8739</v>
      </c>
      <c r="AE21" s="243"/>
    </row>
    <row r="22" spans="1:31" ht="12.75">
      <c r="A22" s="237">
        <v>40480</v>
      </c>
      <c r="B22" s="238">
        <v>5.5</v>
      </c>
      <c r="C22" s="238">
        <v>4.5</v>
      </c>
      <c r="D22" s="238">
        <v>7</v>
      </c>
      <c r="E22" s="238">
        <v>8</v>
      </c>
      <c r="F22" s="240" t="s">
        <v>126</v>
      </c>
      <c r="G22" s="240" t="s">
        <v>126</v>
      </c>
      <c r="H22" s="238">
        <v>12.5</v>
      </c>
      <c r="I22" s="238">
        <v>15</v>
      </c>
      <c r="J22" s="240" t="s">
        <v>126</v>
      </c>
      <c r="K22" s="240" t="s">
        <v>126</v>
      </c>
      <c r="L22" s="240" t="s">
        <v>126</v>
      </c>
      <c r="N22" s="238">
        <v>3</v>
      </c>
      <c r="O22" s="238">
        <v>11</v>
      </c>
      <c r="P22" s="238">
        <v>13</v>
      </c>
      <c r="Q22" s="238">
        <v>15.5</v>
      </c>
      <c r="R22" s="238">
        <v>18</v>
      </c>
      <c r="S22" s="238">
        <v>20.5</v>
      </c>
      <c r="T22" s="238">
        <v>28</v>
      </c>
      <c r="U22" s="238"/>
      <c r="V22" s="196">
        <v>3.5681</v>
      </c>
      <c r="W22" s="196">
        <v>5.01</v>
      </c>
      <c r="X22" s="196">
        <v>5.4923</v>
      </c>
      <c r="Y22" s="196">
        <v>5.8511</v>
      </c>
      <c r="Z22" s="196" t="s">
        <v>126</v>
      </c>
      <c r="AA22" s="196">
        <v>5.97</v>
      </c>
      <c r="AB22" s="196">
        <v>5.9452</v>
      </c>
      <c r="AC22" s="196">
        <v>5.7996</v>
      </c>
      <c r="AE22" s="243"/>
    </row>
    <row r="23" spans="1:31" ht="12.75">
      <c r="A23" s="237">
        <v>40483</v>
      </c>
      <c r="B23" s="238">
        <v>5.5</v>
      </c>
      <c r="C23" s="238">
        <v>4</v>
      </c>
      <c r="D23" s="238">
        <v>7</v>
      </c>
      <c r="E23" s="238">
        <v>8</v>
      </c>
      <c r="F23" s="240" t="s">
        <v>126</v>
      </c>
      <c r="G23" s="240" t="s">
        <v>126</v>
      </c>
      <c r="H23" s="238">
        <v>12.5</v>
      </c>
      <c r="I23" s="238">
        <v>15</v>
      </c>
      <c r="J23" s="240" t="s">
        <v>126</v>
      </c>
      <c r="K23" s="240" t="s">
        <v>126</v>
      </c>
      <c r="L23" s="240" t="s">
        <v>126</v>
      </c>
      <c r="N23" s="238">
        <v>5</v>
      </c>
      <c r="O23" s="238">
        <v>11</v>
      </c>
      <c r="P23" s="238">
        <v>13</v>
      </c>
      <c r="Q23" s="238">
        <v>15.5</v>
      </c>
      <c r="R23" s="238">
        <v>18</v>
      </c>
      <c r="S23" s="238">
        <v>20.5</v>
      </c>
      <c r="T23" s="238">
        <v>26</v>
      </c>
      <c r="U23" s="238"/>
      <c r="V23" s="196">
        <v>3.5791</v>
      </c>
      <c r="W23" s="196">
        <v>5</v>
      </c>
      <c r="X23" s="196">
        <v>5.4812</v>
      </c>
      <c r="Y23" s="196">
        <v>5.8167</v>
      </c>
      <c r="Z23" s="196" t="s">
        <v>126</v>
      </c>
      <c r="AA23" s="196">
        <v>5.9501</v>
      </c>
      <c r="AB23" s="196">
        <v>5.927</v>
      </c>
      <c r="AC23" s="196">
        <v>5.7787</v>
      </c>
      <c r="AE23" s="243"/>
    </row>
    <row r="24" spans="1:31" ht="12.75">
      <c r="A24" s="237">
        <v>40485</v>
      </c>
      <c r="B24" s="238">
        <v>5.5</v>
      </c>
      <c r="C24" s="238">
        <v>4.5</v>
      </c>
      <c r="D24" s="238">
        <v>7.5</v>
      </c>
      <c r="E24" s="238">
        <v>8.5</v>
      </c>
      <c r="F24" s="240" t="s">
        <v>126</v>
      </c>
      <c r="G24" s="240" t="s">
        <v>126</v>
      </c>
      <c r="H24" s="238">
        <v>12.5</v>
      </c>
      <c r="I24" s="238">
        <v>15.5</v>
      </c>
      <c r="J24" s="240" t="s">
        <v>126</v>
      </c>
      <c r="K24" s="240" t="s">
        <v>126</v>
      </c>
      <c r="L24" s="240" t="s">
        <v>126</v>
      </c>
      <c r="N24" s="238">
        <v>5.5</v>
      </c>
      <c r="O24" s="238">
        <v>11</v>
      </c>
      <c r="P24" s="238">
        <v>13</v>
      </c>
      <c r="Q24" s="238">
        <v>15.5</v>
      </c>
      <c r="R24" s="238">
        <v>18.5</v>
      </c>
      <c r="S24" s="238">
        <v>21</v>
      </c>
      <c r="T24" s="238">
        <v>26.5</v>
      </c>
      <c r="U24" s="238"/>
      <c r="V24" s="196">
        <v>3.5947</v>
      </c>
      <c r="W24" s="196">
        <v>5.0486</v>
      </c>
      <c r="X24" s="196">
        <v>5.5304</v>
      </c>
      <c r="Y24" s="196">
        <v>5.8414</v>
      </c>
      <c r="Z24" s="196" t="s">
        <v>126</v>
      </c>
      <c r="AA24" s="196">
        <v>5.9525</v>
      </c>
      <c r="AB24" s="196">
        <v>5.919</v>
      </c>
      <c r="AC24" s="196">
        <v>5.7704</v>
      </c>
      <c r="AE24" s="243"/>
    </row>
    <row r="25" spans="1:31" ht="12.75">
      <c r="A25" s="237">
        <v>40486</v>
      </c>
      <c r="B25" s="238">
        <v>5</v>
      </c>
      <c r="C25" s="238">
        <v>4.5</v>
      </c>
      <c r="D25" s="238">
        <v>7.5</v>
      </c>
      <c r="E25" s="238">
        <v>8</v>
      </c>
      <c r="F25" s="240" t="s">
        <v>126</v>
      </c>
      <c r="G25" s="240" t="s">
        <v>126</v>
      </c>
      <c r="H25" s="238">
        <v>12.5</v>
      </c>
      <c r="I25" s="238">
        <v>16</v>
      </c>
      <c r="J25" s="240" t="s">
        <v>126</v>
      </c>
      <c r="K25" s="240" t="s">
        <v>126</v>
      </c>
      <c r="L25" s="240" t="s">
        <v>126</v>
      </c>
      <c r="N25" s="238">
        <v>5</v>
      </c>
      <c r="O25" s="238">
        <v>11</v>
      </c>
      <c r="P25" s="238">
        <v>13.5</v>
      </c>
      <c r="Q25" s="238">
        <v>15</v>
      </c>
      <c r="R25" s="238">
        <v>18.5</v>
      </c>
      <c r="S25" s="238">
        <v>21</v>
      </c>
      <c r="T25" s="238">
        <v>26.5</v>
      </c>
      <c r="U25" s="238"/>
      <c r="V25" s="196">
        <v>3.6985</v>
      </c>
      <c r="W25" s="196">
        <v>5.1398</v>
      </c>
      <c r="X25" s="196">
        <v>5.5841</v>
      </c>
      <c r="Y25" s="196">
        <v>5.8799</v>
      </c>
      <c r="Z25" s="196" t="s">
        <v>126</v>
      </c>
      <c r="AA25" s="196">
        <v>5.9678</v>
      </c>
      <c r="AB25" s="196">
        <v>5.9199</v>
      </c>
      <c r="AC25" s="196">
        <v>5.7475</v>
      </c>
      <c r="AE25" s="243"/>
    </row>
    <row r="26" spans="1:31" ht="12.75">
      <c r="A26" s="237">
        <v>40487</v>
      </c>
      <c r="B26" s="238">
        <v>5.5</v>
      </c>
      <c r="C26" s="238">
        <v>4.5</v>
      </c>
      <c r="D26" s="238">
        <v>7.5</v>
      </c>
      <c r="E26" s="238">
        <v>8</v>
      </c>
      <c r="F26" s="240" t="s">
        <v>126</v>
      </c>
      <c r="G26" s="240" t="s">
        <v>126</v>
      </c>
      <c r="H26" s="238">
        <v>13</v>
      </c>
      <c r="I26" s="238">
        <v>16</v>
      </c>
      <c r="J26" s="240" t="s">
        <v>126</v>
      </c>
      <c r="K26" s="240" t="s">
        <v>126</v>
      </c>
      <c r="L26" s="240" t="s">
        <v>126</v>
      </c>
      <c r="N26" s="238">
        <v>5.5</v>
      </c>
      <c r="O26" s="238">
        <v>11</v>
      </c>
      <c r="P26" s="238">
        <v>13.5</v>
      </c>
      <c r="Q26" s="238">
        <v>15.5</v>
      </c>
      <c r="R26" s="238">
        <v>19</v>
      </c>
      <c r="S26" s="238">
        <v>21</v>
      </c>
      <c r="T26" s="238">
        <v>27.5</v>
      </c>
      <c r="U26" s="238"/>
      <c r="V26" s="196">
        <v>3.7499</v>
      </c>
      <c r="W26" s="196">
        <v>5.1849</v>
      </c>
      <c r="X26" s="196">
        <v>5.6324</v>
      </c>
      <c r="Y26" s="196">
        <v>5.9122</v>
      </c>
      <c r="Z26" s="196" t="s">
        <v>126</v>
      </c>
      <c r="AA26" s="196">
        <v>5.9955</v>
      </c>
      <c r="AB26" s="196">
        <v>5.9208</v>
      </c>
      <c r="AC26" s="196">
        <v>5.7177</v>
      </c>
      <c r="AE26" s="244"/>
    </row>
    <row r="27" spans="1:31" ht="12.75">
      <c r="A27" s="237">
        <v>40490</v>
      </c>
      <c r="B27" s="238">
        <v>5.5</v>
      </c>
      <c r="C27" s="238">
        <v>5</v>
      </c>
      <c r="D27" s="238">
        <v>7.5</v>
      </c>
      <c r="E27" s="238">
        <v>8</v>
      </c>
      <c r="F27" s="240" t="s">
        <v>126</v>
      </c>
      <c r="G27" s="240" t="s">
        <v>126</v>
      </c>
      <c r="H27" s="238">
        <v>13.5</v>
      </c>
      <c r="I27" s="238">
        <v>16</v>
      </c>
      <c r="J27" s="240" t="s">
        <v>126</v>
      </c>
      <c r="K27" s="240" t="s">
        <v>126</v>
      </c>
      <c r="L27" s="240" t="s">
        <v>126</v>
      </c>
      <c r="N27" s="238">
        <v>5.5</v>
      </c>
      <c r="O27" s="238">
        <v>11</v>
      </c>
      <c r="P27" s="238">
        <v>13</v>
      </c>
      <c r="Q27" s="238">
        <v>15</v>
      </c>
      <c r="R27" s="238">
        <v>19</v>
      </c>
      <c r="S27" s="238">
        <v>20</v>
      </c>
      <c r="T27" s="238">
        <v>28.5</v>
      </c>
      <c r="U27" s="238"/>
      <c r="V27" s="196">
        <v>3.6518</v>
      </c>
      <c r="W27" s="196">
        <v>5.1021</v>
      </c>
      <c r="X27" s="196">
        <v>5.5783</v>
      </c>
      <c r="Y27" s="196">
        <v>5.8907</v>
      </c>
      <c r="Z27" s="196" t="s">
        <v>126</v>
      </c>
      <c r="AA27" s="196">
        <v>6.023</v>
      </c>
      <c r="AB27" s="196">
        <v>5.9508</v>
      </c>
      <c r="AC27" s="196">
        <v>5.75</v>
      </c>
      <c r="AE27" s="244"/>
    </row>
    <row r="28" spans="1:31" ht="12.75">
      <c r="A28" s="237">
        <v>40491</v>
      </c>
      <c r="B28" s="238">
        <v>6</v>
      </c>
      <c r="C28" s="238">
        <v>5</v>
      </c>
      <c r="D28" s="238">
        <v>7.5</v>
      </c>
      <c r="E28" s="238">
        <v>8.5</v>
      </c>
      <c r="F28" s="240" t="s">
        <v>126</v>
      </c>
      <c r="G28" s="240" t="s">
        <v>126</v>
      </c>
      <c r="H28" s="238">
        <v>13.5</v>
      </c>
      <c r="I28" s="238">
        <v>16</v>
      </c>
      <c r="J28" s="240" t="s">
        <v>126</v>
      </c>
      <c r="K28" s="240" t="s">
        <v>126</v>
      </c>
      <c r="L28" s="240" t="s">
        <v>126</v>
      </c>
      <c r="N28" s="238">
        <v>6</v>
      </c>
      <c r="O28" s="238">
        <v>11</v>
      </c>
      <c r="P28" s="238">
        <v>13</v>
      </c>
      <c r="Q28" s="238">
        <v>15.5</v>
      </c>
      <c r="R28" s="238">
        <v>19.5</v>
      </c>
      <c r="S28" s="238">
        <v>21.5</v>
      </c>
      <c r="T28" s="238">
        <v>28.5</v>
      </c>
      <c r="U28" s="238"/>
      <c r="V28" s="196">
        <v>3.5721</v>
      </c>
      <c r="W28" s="196">
        <v>5.0581</v>
      </c>
      <c r="X28" s="196">
        <v>5.565</v>
      </c>
      <c r="Y28" s="196">
        <v>5.857</v>
      </c>
      <c r="Z28" s="196" t="s">
        <v>126</v>
      </c>
      <c r="AA28" s="196">
        <v>6.01</v>
      </c>
      <c r="AB28" s="196">
        <v>5.9484</v>
      </c>
      <c r="AC28" s="196">
        <v>5.6844</v>
      </c>
      <c r="AE28" s="244"/>
    </row>
    <row r="29" spans="1:31" ht="12.75">
      <c r="A29" s="237">
        <v>40492</v>
      </c>
      <c r="B29" s="238">
        <v>7.5</v>
      </c>
      <c r="C29" s="238">
        <v>5</v>
      </c>
      <c r="D29" s="238">
        <v>7.5</v>
      </c>
      <c r="E29" s="238">
        <v>8.5</v>
      </c>
      <c r="F29" s="240" t="s">
        <v>126</v>
      </c>
      <c r="G29" s="240" t="s">
        <v>126</v>
      </c>
      <c r="H29" s="238">
        <v>13.5</v>
      </c>
      <c r="I29" s="238">
        <v>16</v>
      </c>
      <c r="J29" s="240" t="s">
        <v>126</v>
      </c>
      <c r="K29" s="240" t="s">
        <v>126</v>
      </c>
      <c r="L29" s="240" t="s">
        <v>126</v>
      </c>
      <c r="N29" s="238">
        <v>7</v>
      </c>
      <c r="O29" s="238">
        <v>11.5</v>
      </c>
      <c r="P29" s="238">
        <v>13</v>
      </c>
      <c r="Q29" s="238">
        <v>16</v>
      </c>
      <c r="R29" s="238">
        <v>20.5</v>
      </c>
      <c r="S29" s="238">
        <v>25</v>
      </c>
      <c r="T29" s="238">
        <v>34</v>
      </c>
      <c r="U29" s="238"/>
      <c r="V29" s="196">
        <v>3.5009</v>
      </c>
      <c r="W29" s="196">
        <v>5.0149</v>
      </c>
      <c r="X29" s="196">
        <v>5.57</v>
      </c>
      <c r="Y29" s="196">
        <v>5.8284</v>
      </c>
      <c r="Z29" s="196" t="s">
        <v>126</v>
      </c>
      <c r="AA29" s="196">
        <v>5.9526</v>
      </c>
      <c r="AB29" s="196">
        <v>5.8667</v>
      </c>
      <c r="AC29" s="196">
        <v>5.6214</v>
      </c>
      <c r="AE29" s="244"/>
    </row>
    <row r="30" spans="1:31" ht="12.75">
      <c r="A30" s="237">
        <v>40493</v>
      </c>
      <c r="B30" s="238">
        <v>8</v>
      </c>
      <c r="C30" s="238">
        <v>5</v>
      </c>
      <c r="D30" s="238">
        <v>7.5</v>
      </c>
      <c r="E30" s="238">
        <v>8.5</v>
      </c>
      <c r="F30" s="240" t="s">
        <v>126</v>
      </c>
      <c r="G30" s="240" t="s">
        <v>126</v>
      </c>
      <c r="H30" s="238">
        <v>14</v>
      </c>
      <c r="I30" s="238">
        <v>17</v>
      </c>
      <c r="J30" s="240" t="s">
        <v>126</v>
      </c>
      <c r="K30" s="240" t="s">
        <v>126</v>
      </c>
      <c r="L30" s="240" t="s">
        <v>126</v>
      </c>
      <c r="N30" s="238">
        <v>7.5</v>
      </c>
      <c r="O30" s="238">
        <v>12</v>
      </c>
      <c r="P30" s="238">
        <v>13</v>
      </c>
      <c r="Q30" s="238">
        <v>16.5</v>
      </c>
      <c r="R30" s="238">
        <v>21</v>
      </c>
      <c r="S30" s="238">
        <v>25.5</v>
      </c>
      <c r="T30" s="238">
        <v>34</v>
      </c>
      <c r="U30" s="238"/>
      <c r="V30" s="196">
        <v>3.4776</v>
      </c>
      <c r="W30" s="196">
        <v>4.99</v>
      </c>
      <c r="X30" s="196">
        <v>5.5901</v>
      </c>
      <c r="Y30" s="196">
        <v>5.85</v>
      </c>
      <c r="Z30" s="196" t="s">
        <v>126</v>
      </c>
      <c r="AA30" s="196">
        <v>5.9495</v>
      </c>
      <c r="AB30" s="196">
        <v>5.8265</v>
      </c>
      <c r="AC30" s="196">
        <v>5.6445</v>
      </c>
      <c r="AE30" s="244"/>
    </row>
    <row r="31" spans="1:31" ht="12.75">
      <c r="A31" s="237">
        <v>40494</v>
      </c>
      <c r="B31" s="238">
        <v>9.5</v>
      </c>
      <c r="C31" s="238">
        <v>5</v>
      </c>
      <c r="D31" s="238">
        <v>7.5</v>
      </c>
      <c r="E31" s="238">
        <v>8.5</v>
      </c>
      <c r="F31" s="240" t="s">
        <v>126</v>
      </c>
      <c r="G31" s="240" t="s">
        <v>126</v>
      </c>
      <c r="H31" s="238">
        <v>14</v>
      </c>
      <c r="I31" s="238">
        <v>17</v>
      </c>
      <c r="J31" s="240" t="s">
        <v>126</v>
      </c>
      <c r="K31" s="240" t="s">
        <v>126</v>
      </c>
      <c r="L31" s="240" t="s">
        <v>126</v>
      </c>
      <c r="N31" s="238">
        <v>8.5</v>
      </c>
      <c r="O31" s="238">
        <v>13</v>
      </c>
      <c r="P31" s="238">
        <v>13</v>
      </c>
      <c r="Q31" s="238">
        <v>16.5</v>
      </c>
      <c r="R31" s="238">
        <v>21</v>
      </c>
      <c r="S31" s="238">
        <v>25.5</v>
      </c>
      <c r="T31" s="238">
        <v>34</v>
      </c>
      <c r="U31" s="238"/>
      <c r="V31" s="196">
        <v>3.4896</v>
      </c>
      <c r="W31" s="196">
        <v>4.9683</v>
      </c>
      <c r="X31" s="196">
        <v>5.5903</v>
      </c>
      <c r="Y31" s="196">
        <v>5.8302</v>
      </c>
      <c r="Z31" s="196" t="s">
        <v>126</v>
      </c>
      <c r="AA31" s="196">
        <v>5.9199</v>
      </c>
      <c r="AB31" s="196">
        <v>5.7914</v>
      </c>
      <c r="AC31" s="196">
        <v>5.6228</v>
      </c>
      <c r="AE31" s="243"/>
    </row>
    <row r="32" spans="1:31" ht="12.75">
      <c r="A32" s="237">
        <v>40498</v>
      </c>
      <c r="B32" s="238">
        <v>9.5</v>
      </c>
      <c r="C32" s="238">
        <v>4.5</v>
      </c>
      <c r="D32" s="238">
        <v>7.5</v>
      </c>
      <c r="E32" s="238">
        <v>8.5</v>
      </c>
      <c r="F32" s="240" t="s">
        <v>126</v>
      </c>
      <c r="G32" s="240" t="s">
        <v>126</v>
      </c>
      <c r="H32" s="238">
        <v>14</v>
      </c>
      <c r="I32" s="238">
        <v>17</v>
      </c>
      <c r="J32" s="240" t="s">
        <v>126</v>
      </c>
      <c r="K32" s="240" t="s">
        <v>126</v>
      </c>
      <c r="L32" s="240" t="s">
        <v>126</v>
      </c>
      <c r="N32" s="238">
        <v>9</v>
      </c>
      <c r="O32" s="238">
        <v>12.5</v>
      </c>
      <c r="P32" s="238">
        <v>14</v>
      </c>
      <c r="Q32" s="238">
        <v>16.5</v>
      </c>
      <c r="R32" s="238">
        <v>21</v>
      </c>
      <c r="S32" s="238">
        <v>25.5</v>
      </c>
      <c r="T32" s="238">
        <v>34.5</v>
      </c>
      <c r="U32" s="238"/>
      <c r="V32" s="196">
        <v>3.521</v>
      </c>
      <c r="W32" s="196">
        <v>5</v>
      </c>
      <c r="X32" s="196">
        <v>5.6423</v>
      </c>
      <c r="Y32" s="196">
        <v>5.95</v>
      </c>
      <c r="Z32" s="196" t="s">
        <v>126</v>
      </c>
      <c r="AA32" s="196">
        <v>6.0241</v>
      </c>
      <c r="AB32" s="196">
        <v>5.8892</v>
      </c>
      <c r="AC32" s="196">
        <v>5.7003</v>
      </c>
      <c r="AE32" s="236"/>
    </row>
    <row r="33" spans="1:31" ht="12.75">
      <c r="A33" s="237">
        <v>40499</v>
      </c>
      <c r="B33" s="238">
        <v>9</v>
      </c>
      <c r="C33" s="238">
        <v>5</v>
      </c>
      <c r="D33" s="238">
        <v>8</v>
      </c>
      <c r="E33" s="238">
        <v>8.5</v>
      </c>
      <c r="F33" s="240" t="s">
        <v>126</v>
      </c>
      <c r="G33" s="240" t="s">
        <v>126</v>
      </c>
      <c r="H33" s="238">
        <v>13.5</v>
      </c>
      <c r="I33" s="238">
        <v>17</v>
      </c>
      <c r="J33" s="240" t="s">
        <v>126</v>
      </c>
      <c r="K33" s="240" t="s">
        <v>126</v>
      </c>
      <c r="L33" s="240" t="s">
        <v>126</v>
      </c>
      <c r="N33" s="238">
        <v>8.5</v>
      </c>
      <c r="O33" s="238">
        <v>12</v>
      </c>
      <c r="P33" s="238">
        <v>14</v>
      </c>
      <c r="Q33" s="238">
        <v>16</v>
      </c>
      <c r="R33" s="238">
        <v>21</v>
      </c>
      <c r="S33" s="238">
        <v>25.5</v>
      </c>
      <c r="T33" s="238">
        <v>34.5</v>
      </c>
      <c r="U33" s="238"/>
      <c r="V33" s="196">
        <v>3.535</v>
      </c>
      <c r="W33" s="196">
        <v>5.023</v>
      </c>
      <c r="X33" s="196">
        <v>5.6501</v>
      </c>
      <c r="Y33" s="196">
        <v>5.9591</v>
      </c>
      <c r="Z33" s="196" t="s">
        <v>126</v>
      </c>
      <c r="AA33" s="196">
        <v>6.0007</v>
      </c>
      <c r="AB33" s="196">
        <v>5.8539</v>
      </c>
      <c r="AC33" s="196">
        <v>5.6944</v>
      </c>
      <c r="AE33" s="236"/>
    </row>
    <row r="34" spans="1:31" ht="12.75">
      <c r="A34" s="237">
        <v>40500</v>
      </c>
      <c r="B34" s="238">
        <v>9</v>
      </c>
      <c r="C34" s="238">
        <v>5</v>
      </c>
      <c r="D34" s="238">
        <v>8</v>
      </c>
      <c r="E34" s="238">
        <v>9</v>
      </c>
      <c r="F34" s="240" t="s">
        <v>126</v>
      </c>
      <c r="G34" s="240" t="s">
        <v>126</v>
      </c>
      <c r="H34" s="238">
        <v>13.5</v>
      </c>
      <c r="I34" s="238">
        <v>17</v>
      </c>
      <c r="J34" s="240" t="s">
        <v>126</v>
      </c>
      <c r="K34" s="240" t="s">
        <v>126</v>
      </c>
      <c r="L34" s="240" t="s">
        <v>126</v>
      </c>
      <c r="N34" s="238">
        <v>8.5</v>
      </c>
      <c r="O34" s="238">
        <v>12.5</v>
      </c>
      <c r="P34" s="238">
        <v>14</v>
      </c>
      <c r="Q34" s="238">
        <v>16.5</v>
      </c>
      <c r="R34" s="238">
        <v>21</v>
      </c>
      <c r="S34" s="238">
        <v>25.5</v>
      </c>
      <c r="T34" s="238">
        <v>34.5</v>
      </c>
      <c r="U34" s="238"/>
      <c r="V34" s="196">
        <v>3.4846</v>
      </c>
      <c r="W34" s="196">
        <v>5.0302</v>
      </c>
      <c r="X34" s="196">
        <v>5.7118</v>
      </c>
      <c r="Y34" s="196">
        <v>6.0308</v>
      </c>
      <c r="Z34" s="196" t="s">
        <v>126</v>
      </c>
      <c r="AA34" s="196">
        <v>6.0324</v>
      </c>
      <c r="AB34" s="196">
        <v>5.891</v>
      </c>
      <c r="AC34" s="196">
        <v>5.7576</v>
      </c>
      <c r="AE34" s="236"/>
    </row>
    <row r="35" spans="1:31" ht="12.75">
      <c r="A35" s="237">
        <v>40501</v>
      </c>
      <c r="B35" s="238">
        <v>8</v>
      </c>
      <c r="C35" s="238">
        <v>5</v>
      </c>
      <c r="D35" s="238">
        <v>7.5</v>
      </c>
      <c r="E35" s="238">
        <v>9</v>
      </c>
      <c r="F35" s="240" t="s">
        <v>126</v>
      </c>
      <c r="G35" s="240" t="s">
        <v>126</v>
      </c>
      <c r="H35" s="238">
        <v>13.5</v>
      </c>
      <c r="I35" s="238">
        <v>17</v>
      </c>
      <c r="J35" s="240" t="s">
        <v>126</v>
      </c>
      <c r="K35" s="240" t="s">
        <v>126</v>
      </c>
      <c r="L35" s="240" t="s">
        <v>126</v>
      </c>
      <c r="N35" s="238">
        <v>9</v>
      </c>
      <c r="O35" s="238">
        <v>12.5</v>
      </c>
      <c r="P35" s="238">
        <v>14</v>
      </c>
      <c r="Q35" s="238">
        <v>16</v>
      </c>
      <c r="R35" s="238">
        <v>21</v>
      </c>
      <c r="S35" s="238">
        <v>25.5</v>
      </c>
      <c r="T35" s="238">
        <v>35</v>
      </c>
      <c r="U35" s="238"/>
      <c r="V35" s="196">
        <v>3.4412</v>
      </c>
      <c r="W35" s="196">
        <v>5.009</v>
      </c>
      <c r="X35" s="196">
        <v>5.69</v>
      </c>
      <c r="Y35" s="196">
        <v>6.0409</v>
      </c>
      <c r="Z35" s="196" t="s">
        <v>126</v>
      </c>
      <c r="AA35" s="196">
        <v>6.0498</v>
      </c>
      <c r="AB35" s="196">
        <v>5.8985</v>
      </c>
      <c r="AC35" s="196">
        <v>5.7696</v>
      </c>
      <c r="AE35" s="236"/>
    </row>
    <row r="36" spans="1:31" ht="12.75">
      <c r="A36" s="237">
        <v>40504</v>
      </c>
      <c r="B36" s="238">
        <v>8</v>
      </c>
      <c r="C36" s="238">
        <v>5</v>
      </c>
      <c r="D36" s="238">
        <v>7.5</v>
      </c>
      <c r="E36" s="238">
        <v>9</v>
      </c>
      <c r="F36" s="240" t="s">
        <v>126</v>
      </c>
      <c r="G36" s="240" t="s">
        <v>126</v>
      </c>
      <c r="H36" s="238">
        <v>14</v>
      </c>
      <c r="I36" s="238">
        <v>17.5</v>
      </c>
      <c r="J36" s="240" t="s">
        <v>126</v>
      </c>
      <c r="K36" s="240" t="s">
        <v>126</v>
      </c>
      <c r="L36" s="240" t="s">
        <v>126</v>
      </c>
      <c r="N36" s="238">
        <v>9</v>
      </c>
      <c r="O36" s="238">
        <v>12.5</v>
      </c>
      <c r="P36" s="238">
        <v>14</v>
      </c>
      <c r="Q36" s="238">
        <v>16</v>
      </c>
      <c r="R36" s="238">
        <v>21.5</v>
      </c>
      <c r="S36" s="238">
        <v>25</v>
      </c>
      <c r="T36" s="238">
        <v>35</v>
      </c>
      <c r="U36" s="238"/>
      <c r="V36" s="196">
        <v>3.489</v>
      </c>
      <c r="W36" s="196">
        <v>5.0771</v>
      </c>
      <c r="X36" s="196">
        <v>5.8012</v>
      </c>
      <c r="Y36" s="196">
        <v>6.1774</v>
      </c>
      <c r="Z36" s="196" t="s">
        <v>126</v>
      </c>
      <c r="AA36" s="196">
        <v>6.2048</v>
      </c>
      <c r="AB36" s="196">
        <v>6.009</v>
      </c>
      <c r="AC36" s="196">
        <v>5.8972</v>
      </c>
      <c r="AE36" s="236"/>
    </row>
    <row r="37" spans="1:31" ht="12.75">
      <c r="A37" s="237">
        <v>40505</v>
      </c>
      <c r="B37" s="238">
        <v>4</v>
      </c>
      <c r="C37" s="238">
        <v>6.5</v>
      </c>
      <c r="D37" s="238">
        <v>8.5</v>
      </c>
      <c r="E37" s="238">
        <v>12.5</v>
      </c>
      <c r="F37" s="240" t="s">
        <v>126</v>
      </c>
      <c r="G37" s="240" t="s">
        <v>126</v>
      </c>
      <c r="H37" s="238">
        <v>16</v>
      </c>
      <c r="I37" s="238">
        <v>16</v>
      </c>
      <c r="J37" s="240" t="s">
        <v>126</v>
      </c>
      <c r="K37" s="240" t="s">
        <v>126</v>
      </c>
      <c r="L37" s="240" t="s">
        <v>126</v>
      </c>
      <c r="N37" s="238">
        <v>8.5</v>
      </c>
      <c r="O37" s="238">
        <v>10.5</v>
      </c>
      <c r="P37" s="238">
        <v>13.5</v>
      </c>
      <c r="Q37" s="238">
        <v>15</v>
      </c>
      <c r="R37" s="238">
        <v>20</v>
      </c>
      <c r="S37" s="238">
        <v>25</v>
      </c>
      <c r="T37" s="238">
        <v>35</v>
      </c>
      <c r="U37" s="238"/>
      <c r="V37" s="196">
        <v>3.2527</v>
      </c>
      <c r="W37" s="196">
        <v>5.0599</v>
      </c>
      <c r="X37" s="196">
        <v>5.7712</v>
      </c>
      <c r="Y37" s="196">
        <v>6.1528</v>
      </c>
      <c r="Z37" s="196" t="s">
        <v>126</v>
      </c>
      <c r="AA37" s="196">
        <v>6.1773</v>
      </c>
      <c r="AB37" s="196">
        <v>6.0006</v>
      </c>
      <c r="AC37" s="196">
        <v>5.8905</v>
      </c>
      <c r="AE37" s="236"/>
    </row>
    <row r="38" spans="1:31" ht="12.75">
      <c r="A38" s="237">
        <v>40506</v>
      </c>
      <c r="B38" s="238">
        <v>4</v>
      </c>
      <c r="C38" s="238">
        <v>4</v>
      </c>
      <c r="D38" s="238">
        <v>6.5</v>
      </c>
      <c r="E38" s="238">
        <v>10</v>
      </c>
      <c r="F38" s="240" t="s">
        <v>126</v>
      </c>
      <c r="G38" s="240" t="s">
        <v>126</v>
      </c>
      <c r="H38" s="238">
        <v>14.5</v>
      </c>
      <c r="I38" s="238">
        <v>15.5</v>
      </c>
      <c r="J38" s="240" t="s">
        <v>126</v>
      </c>
      <c r="K38" s="240" t="s">
        <v>126</v>
      </c>
      <c r="L38" s="240" t="s">
        <v>126</v>
      </c>
      <c r="N38" s="238">
        <v>6</v>
      </c>
      <c r="O38" s="238">
        <v>9</v>
      </c>
      <c r="P38" s="238">
        <v>11.5</v>
      </c>
      <c r="Q38" s="238">
        <v>13.5</v>
      </c>
      <c r="R38" s="238">
        <v>18.5</v>
      </c>
      <c r="S38" s="238">
        <v>22</v>
      </c>
      <c r="T38" s="238">
        <v>30</v>
      </c>
      <c r="U38" s="238"/>
      <c r="V38" s="196">
        <v>3.3196</v>
      </c>
      <c r="W38" s="196">
        <v>5.1156</v>
      </c>
      <c r="X38" s="196">
        <v>5.7888</v>
      </c>
      <c r="Y38" s="196">
        <v>6.1215</v>
      </c>
      <c r="Z38" s="196" t="s">
        <v>126</v>
      </c>
      <c r="AA38" s="196">
        <v>6.1748</v>
      </c>
      <c r="AB38" s="196">
        <v>5.9883</v>
      </c>
      <c r="AC38" s="196">
        <v>5.849</v>
      </c>
      <c r="AE38" s="236"/>
    </row>
    <row r="39" spans="1:31" ht="12.75">
      <c r="A39" s="237">
        <v>40507</v>
      </c>
      <c r="B39" s="238">
        <v>1.5</v>
      </c>
      <c r="C39" s="238">
        <v>2.5</v>
      </c>
      <c r="D39" s="238">
        <v>4.5</v>
      </c>
      <c r="E39" s="238">
        <v>10</v>
      </c>
      <c r="F39" s="240" t="s">
        <v>126</v>
      </c>
      <c r="G39" s="240" t="s">
        <v>126</v>
      </c>
      <c r="H39" s="238">
        <v>13</v>
      </c>
      <c r="I39" s="238">
        <v>15</v>
      </c>
      <c r="J39" s="240" t="s">
        <v>126</v>
      </c>
      <c r="K39" s="240" t="s">
        <v>126</v>
      </c>
      <c r="L39" s="240" t="s">
        <v>126</v>
      </c>
      <c r="N39" s="238">
        <v>3</v>
      </c>
      <c r="O39" s="238">
        <v>8.5</v>
      </c>
      <c r="P39" s="238">
        <v>11.5</v>
      </c>
      <c r="Q39" s="238">
        <v>13</v>
      </c>
      <c r="R39" s="238">
        <v>16.5</v>
      </c>
      <c r="S39" s="238">
        <v>18.5</v>
      </c>
      <c r="T39" s="238">
        <v>28.5</v>
      </c>
      <c r="U39" s="238"/>
      <c r="V39" s="196">
        <v>3.3625</v>
      </c>
      <c r="W39" s="196">
        <v>5.1613</v>
      </c>
      <c r="X39" s="196">
        <v>5.7989</v>
      </c>
      <c r="Y39" s="196">
        <v>6.0935</v>
      </c>
      <c r="Z39" s="196" t="s">
        <v>126</v>
      </c>
      <c r="AA39" s="196">
        <v>6.1007</v>
      </c>
      <c r="AB39" s="196">
        <v>5.9591</v>
      </c>
      <c r="AC39" s="196">
        <v>5.7977</v>
      </c>
      <c r="AE39" s="236"/>
    </row>
    <row r="40" spans="1:31" ht="12.75">
      <c r="A40" s="237">
        <v>40508</v>
      </c>
      <c r="B40" s="238">
        <v>2</v>
      </c>
      <c r="C40" s="238">
        <v>2</v>
      </c>
      <c r="D40" s="238">
        <v>4.5</v>
      </c>
      <c r="E40" s="238">
        <v>10</v>
      </c>
      <c r="F40" s="240" t="s">
        <v>126</v>
      </c>
      <c r="G40" s="240" t="s">
        <v>126</v>
      </c>
      <c r="H40" s="238">
        <v>13</v>
      </c>
      <c r="I40" s="238">
        <v>15</v>
      </c>
      <c r="J40" s="240" t="s">
        <v>126</v>
      </c>
      <c r="K40" s="240" t="s">
        <v>126</v>
      </c>
      <c r="L40" s="240" t="s">
        <v>126</v>
      </c>
      <c r="N40" s="238">
        <v>3</v>
      </c>
      <c r="O40" s="238">
        <v>8.5</v>
      </c>
      <c r="P40" s="238">
        <v>11</v>
      </c>
      <c r="Q40" s="238">
        <v>13</v>
      </c>
      <c r="R40" s="238">
        <v>17</v>
      </c>
      <c r="S40" s="238">
        <v>19</v>
      </c>
      <c r="T40" s="238">
        <v>28</v>
      </c>
      <c r="U40" s="238"/>
      <c r="V40" s="196">
        <v>3.4975</v>
      </c>
      <c r="W40" s="196">
        <v>5.4032</v>
      </c>
      <c r="X40" s="196">
        <v>5.9464</v>
      </c>
      <c r="Y40" s="196">
        <v>6.2196</v>
      </c>
      <c r="Z40" s="196" t="s">
        <v>126</v>
      </c>
      <c r="AA40" s="196">
        <v>6.1883</v>
      </c>
      <c r="AB40" s="196">
        <v>5.9805</v>
      </c>
      <c r="AC40" s="196">
        <v>5.7687</v>
      </c>
      <c r="AE40" s="236"/>
    </row>
    <row r="41" spans="1:31" ht="12.75">
      <c r="A41" s="237">
        <v>40511</v>
      </c>
      <c r="B41" s="238">
        <v>2</v>
      </c>
      <c r="C41" s="238">
        <v>2.5</v>
      </c>
      <c r="D41" s="238">
        <v>4.5</v>
      </c>
      <c r="E41" s="238">
        <v>9.5</v>
      </c>
      <c r="F41" s="240" t="s">
        <v>126</v>
      </c>
      <c r="G41" s="240" t="s">
        <v>126</v>
      </c>
      <c r="H41" s="238">
        <v>13</v>
      </c>
      <c r="I41" s="238">
        <v>14</v>
      </c>
      <c r="J41" s="240" t="s">
        <v>126</v>
      </c>
      <c r="K41" s="240" t="s">
        <v>126</v>
      </c>
      <c r="L41" s="240" t="s">
        <v>126</v>
      </c>
      <c r="N41" s="238">
        <v>3</v>
      </c>
      <c r="O41" s="238">
        <v>8.5</v>
      </c>
      <c r="P41" s="238">
        <v>11.5</v>
      </c>
      <c r="Q41" s="238">
        <v>13</v>
      </c>
      <c r="R41" s="238">
        <v>16.5</v>
      </c>
      <c r="S41" s="238">
        <v>18.5</v>
      </c>
      <c r="T41" s="238">
        <v>28.5</v>
      </c>
      <c r="U41" s="238"/>
      <c r="V41" s="196">
        <v>3.475</v>
      </c>
      <c r="W41" s="196">
        <v>5.4387</v>
      </c>
      <c r="X41" s="196">
        <v>6.0353</v>
      </c>
      <c r="Y41" s="196">
        <v>6.3248</v>
      </c>
      <c r="Z41" s="196" t="s">
        <v>126</v>
      </c>
      <c r="AA41" s="196">
        <v>6.2975</v>
      </c>
      <c r="AB41" s="196">
        <v>6.0386</v>
      </c>
      <c r="AC41" s="196">
        <v>5.7795</v>
      </c>
      <c r="AE41" s="236"/>
    </row>
    <row r="42" spans="1:31" ht="12.75">
      <c r="A42" s="237">
        <v>40512</v>
      </c>
      <c r="B42" s="238">
        <v>1</v>
      </c>
      <c r="C42" s="238">
        <v>2</v>
      </c>
      <c r="D42" s="238">
        <v>4</v>
      </c>
      <c r="E42" s="238">
        <v>9.5</v>
      </c>
      <c r="F42" s="240" t="s">
        <v>126</v>
      </c>
      <c r="G42" s="240" t="s">
        <v>126</v>
      </c>
      <c r="H42" s="238">
        <v>12.5</v>
      </c>
      <c r="I42" s="238">
        <v>14</v>
      </c>
      <c r="J42" s="240" t="s">
        <v>126</v>
      </c>
      <c r="K42" s="240" t="s">
        <v>126</v>
      </c>
      <c r="L42" s="240" t="s">
        <v>126</v>
      </c>
      <c r="N42" s="238">
        <v>3</v>
      </c>
      <c r="O42" s="238">
        <v>8</v>
      </c>
      <c r="P42" s="238">
        <v>11</v>
      </c>
      <c r="Q42" s="238">
        <v>13</v>
      </c>
      <c r="R42" s="238">
        <v>16.5</v>
      </c>
      <c r="S42" s="238">
        <v>19</v>
      </c>
      <c r="T42" s="238">
        <v>28.5</v>
      </c>
      <c r="U42" s="238"/>
      <c r="V42" s="196">
        <v>3.4927</v>
      </c>
      <c r="W42" s="196">
        <v>5.455</v>
      </c>
      <c r="X42" s="196">
        <v>6.0144</v>
      </c>
      <c r="Y42" s="196">
        <v>6.2899</v>
      </c>
      <c r="Z42" s="196" t="s">
        <v>126</v>
      </c>
      <c r="AA42" s="196">
        <v>6.2459</v>
      </c>
      <c r="AB42" s="196">
        <v>5.9858</v>
      </c>
      <c r="AC42" s="196">
        <v>5.7329</v>
      </c>
      <c r="AE42" s="236"/>
    </row>
    <row r="43" spans="1:31" ht="12.75">
      <c r="A43" s="237">
        <v>40513</v>
      </c>
      <c r="B43" s="238">
        <v>1</v>
      </c>
      <c r="C43" s="238">
        <v>2</v>
      </c>
      <c r="D43" s="238">
        <v>3.5</v>
      </c>
      <c r="E43" s="238">
        <v>9</v>
      </c>
      <c r="F43" s="240" t="s">
        <v>126</v>
      </c>
      <c r="G43" s="240" t="s">
        <v>126</v>
      </c>
      <c r="H43" s="238">
        <v>12</v>
      </c>
      <c r="I43" s="238">
        <v>13.5</v>
      </c>
      <c r="J43" s="240" t="s">
        <v>126</v>
      </c>
      <c r="K43" s="240" t="s">
        <v>126</v>
      </c>
      <c r="L43" s="240" t="s">
        <v>126</v>
      </c>
      <c r="N43" s="238">
        <v>3</v>
      </c>
      <c r="O43" s="238">
        <v>8</v>
      </c>
      <c r="P43" s="238">
        <v>11.5</v>
      </c>
      <c r="Q43" s="238">
        <v>13</v>
      </c>
      <c r="R43" s="238">
        <v>17</v>
      </c>
      <c r="S43" s="238">
        <v>19</v>
      </c>
      <c r="T43" s="238">
        <v>29</v>
      </c>
      <c r="U43" s="238"/>
      <c r="V43" s="196">
        <v>3.5004</v>
      </c>
      <c r="W43" s="196">
        <v>5.5455</v>
      </c>
      <c r="X43" s="196">
        <v>6.0587</v>
      </c>
      <c r="Y43" s="196">
        <v>6.3251</v>
      </c>
      <c r="Z43" s="196" t="s">
        <v>126</v>
      </c>
      <c r="AA43" s="196">
        <v>6.2592</v>
      </c>
      <c r="AB43" s="196">
        <v>5.9952</v>
      </c>
      <c r="AC43" s="196">
        <v>5.7295</v>
      </c>
      <c r="AE43" s="236"/>
    </row>
    <row r="44" spans="1:31" ht="12.75">
      <c r="A44" s="237">
        <v>40514</v>
      </c>
      <c r="B44" s="238">
        <v>1.5</v>
      </c>
      <c r="C44" s="238">
        <v>2.5</v>
      </c>
      <c r="D44" s="238">
        <v>4</v>
      </c>
      <c r="E44" s="238">
        <v>9</v>
      </c>
      <c r="F44" s="240" t="s">
        <v>126</v>
      </c>
      <c r="G44" s="240" t="s">
        <v>126</v>
      </c>
      <c r="H44" s="238">
        <v>11.5</v>
      </c>
      <c r="I44" s="238">
        <v>13.5</v>
      </c>
      <c r="J44" s="240" t="s">
        <v>126</v>
      </c>
      <c r="K44" s="240" t="s">
        <v>126</v>
      </c>
      <c r="L44" s="240" t="s">
        <v>126</v>
      </c>
      <c r="N44" s="238">
        <v>4.5</v>
      </c>
      <c r="O44" s="238">
        <v>8</v>
      </c>
      <c r="P44" s="238">
        <v>11</v>
      </c>
      <c r="Q44" s="238">
        <v>13</v>
      </c>
      <c r="R44" s="238">
        <v>17</v>
      </c>
      <c r="S44" s="238">
        <v>19</v>
      </c>
      <c r="T44" s="238">
        <v>29.5</v>
      </c>
      <c r="U44" s="238"/>
      <c r="V44" s="196">
        <v>3.5642</v>
      </c>
      <c r="W44" s="196">
        <v>5.719</v>
      </c>
      <c r="X44" s="196">
        <v>6.1757</v>
      </c>
      <c r="Y44" s="196">
        <v>6.3919</v>
      </c>
      <c r="Z44" s="196" t="s">
        <v>126</v>
      </c>
      <c r="AA44" s="196">
        <v>6.275</v>
      </c>
      <c r="AB44" s="196">
        <v>5.9991</v>
      </c>
      <c r="AC44" s="196">
        <v>5.7321</v>
      </c>
      <c r="AE44" s="236"/>
    </row>
    <row r="45" spans="1:31" ht="12.75">
      <c r="A45" s="237">
        <v>40515</v>
      </c>
      <c r="B45" s="238">
        <v>1</v>
      </c>
      <c r="C45" s="238">
        <v>2.5</v>
      </c>
      <c r="D45" s="238">
        <v>4</v>
      </c>
      <c r="E45" s="238">
        <v>9</v>
      </c>
      <c r="F45" s="240" t="s">
        <v>126</v>
      </c>
      <c r="G45" s="240" t="s">
        <v>126</v>
      </c>
      <c r="H45" s="238">
        <v>11.5</v>
      </c>
      <c r="I45" s="238">
        <v>13</v>
      </c>
      <c r="J45" s="240" t="s">
        <v>126</v>
      </c>
      <c r="K45" s="240" t="s">
        <v>126</v>
      </c>
      <c r="L45" s="240" t="s">
        <v>126</v>
      </c>
      <c r="N45" s="238">
        <v>3.5</v>
      </c>
      <c r="O45" s="238">
        <v>7.5</v>
      </c>
      <c r="P45" s="238">
        <v>11</v>
      </c>
      <c r="Q45" s="238">
        <v>12.5</v>
      </c>
      <c r="R45" s="238">
        <v>17</v>
      </c>
      <c r="S45" s="238">
        <v>19.5</v>
      </c>
      <c r="T45" s="238">
        <v>29.5</v>
      </c>
      <c r="U45" s="238"/>
      <c r="V45" s="196">
        <v>3.4053</v>
      </c>
      <c r="W45" s="196">
        <v>5.5588</v>
      </c>
      <c r="X45" s="196">
        <v>6.1093</v>
      </c>
      <c r="Y45" s="196">
        <v>6.3703</v>
      </c>
      <c r="Z45" s="196" t="s">
        <v>126</v>
      </c>
      <c r="AA45" s="196">
        <v>6.2708</v>
      </c>
      <c r="AB45" s="196">
        <v>5.9998</v>
      </c>
      <c r="AC45" s="196">
        <v>5.7476</v>
      </c>
      <c r="AE45" s="195"/>
    </row>
    <row r="46" spans="1:29" ht="12.75">
      <c r="A46" s="237">
        <v>40518</v>
      </c>
      <c r="B46" s="238">
        <v>1</v>
      </c>
      <c r="C46" s="238">
        <v>2.5</v>
      </c>
      <c r="D46" s="238">
        <v>4</v>
      </c>
      <c r="E46" s="238">
        <v>9</v>
      </c>
      <c r="F46" s="240" t="s">
        <v>126</v>
      </c>
      <c r="G46" s="240" t="s">
        <v>126</v>
      </c>
      <c r="H46" s="238">
        <v>10.5</v>
      </c>
      <c r="I46" s="238">
        <v>12</v>
      </c>
      <c r="J46" s="240" t="s">
        <v>126</v>
      </c>
      <c r="K46" s="240" t="s">
        <v>126</v>
      </c>
      <c r="L46" s="240" t="s">
        <v>126</v>
      </c>
      <c r="N46" s="238">
        <v>3.5</v>
      </c>
      <c r="O46" s="238">
        <v>7.5</v>
      </c>
      <c r="P46" s="238">
        <v>11</v>
      </c>
      <c r="Q46" s="238">
        <v>12.5</v>
      </c>
      <c r="R46" s="238">
        <v>17</v>
      </c>
      <c r="S46" s="238">
        <v>19.5</v>
      </c>
      <c r="T46" s="238">
        <v>29.5</v>
      </c>
      <c r="U46" s="238"/>
      <c r="V46" s="196">
        <v>3.4467</v>
      </c>
      <c r="W46" s="196">
        <v>5.5735</v>
      </c>
      <c r="X46" s="196">
        <v>6.1388</v>
      </c>
      <c r="Y46" s="196">
        <v>6.3777</v>
      </c>
      <c r="Z46" s="196" t="s">
        <v>126</v>
      </c>
      <c r="AA46" s="196">
        <v>6.2873</v>
      </c>
      <c r="AB46" s="196">
        <v>6.0455</v>
      </c>
      <c r="AC46" s="196">
        <v>5.8263</v>
      </c>
    </row>
    <row r="47" spans="1:29" ht="12.75">
      <c r="A47" s="237">
        <v>40519</v>
      </c>
      <c r="B47" s="238">
        <v>1</v>
      </c>
      <c r="C47" s="238">
        <v>2.5</v>
      </c>
      <c r="D47" s="238">
        <v>4</v>
      </c>
      <c r="E47" s="238">
        <v>9</v>
      </c>
      <c r="F47" s="240" t="s">
        <v>126</v>
      </c>
      <c r="G47" s="240" t="s">
        <v>126</v>
      </c>
      <c r="H47" s="238">
        <v>10.5</v>
      </c>
      <c r="I47" s="238">
        <v>12</v>
      </c>
      <c r="J47" s="240" t="s">
        <v>126</v>
      </c>
      <c r="K47" s="240" t="s">
        <v>126</v>
      </c>
      <c r="L47" s="240" t="s">
        <v>126</v>
      </c>
      <c r="N47" s="238">
        <v>3.5</v>
      </c>
      <c r="O47" s="238">
        <v>7.5</v>
      </c>
      <c r="P47" s="238">
        <v>11</v>
      </c>
      <c r="Q47" s="238">
        <v>12.5</v>
      </c>
      <c r="R47" s="238">
        <v>17</v>
      </c>
      <c r="S47" s="238">
        <v>19.5</v>
      </c>
      <c r="T47" s="238">
        <v>29</v>
      </c>
      <c r="U47" s="238"/>
      <c r="V47" s="196">
        <v>3.4792</v>
      </c>
      <c r="W47" s="196">
        <v>5.5808</v>
      </c>
      <c r="X47" s="196">
        <v>6.126</v>
      </c>
      <c r="Y47" s="196">
        <v>6.3692</v>
      </c>
      <c r="Z47" s="196" t="s">
        <v>126</v>
      </c>
      <c r="AA47" s="196">
        <v>6.3103</v>
      </c>
      <c r="AB47" s="196">
        <v>6.043</v>
      </c>
      <c r="AC47" s="196">
        <v>5.8181</v>
      </c>
    </row>
    <row r="48" spans="1:29" ht="12.75">
      <c r="A48" s="237">
        <v>40520</v>
      </c>
      <c r="B48" s="238">
        <v>1</v>
      </c>
      <c r="C48" s="238">
        <v>2.5</v>
      </c>
      <c r="D48" s="238">
        <v>3</v>
      </c>
      <c r="E48" s="238">
        <v>9</v>
      </c>
      <c r="F48" s="240" t="s">
        <v>126</v>
      </c>
      <c r="G48" s="240" t="s">
        <v>126</v>
      </c>
      <c r="H48" s="238">
        <v>10.5</v>
      </c>
      <c r="I48" s="238">
        <v>12</v>
      </c>
      <c r="J48" s="240" t="s">
        <v>126</v>
      </c>
      <c r="K48" s="240" t="s">
        <v>126</v>
      </c>
      <c r="L48" s="240" t="s">
        <v>126</v>
      </c>
      <c r="N48" s="238">
        <v>3.5</v>
      </c>
      <c r="O48" s="238">
        <v>7.5</v>
      </c>
      <c r="P48" s="238">
        <v>10</v>
      </c>
      <c r="Q48" s="238">
        <v>12.5</v>
      </c>
      <c r="R48" s="238">
        <v>17</v>
      </c>
      <c r="S48" s="238">
        <v>19.5</v>
      </c>
      <c r="T48" s="238">
        <v>29.5</v>
      </c>
      <c r="U48" s="238"/>
      <c r="V48" s="196">
        <v>3.5487</v>
      </c>
      <c r="W48" s="196">
        <v>5.6634</v>
      </c>
      <c r="X48" s="196">
        <v>6.2015</v>
      </c>
      <c r="Y48" s="196">
        <v>6.4323</v>
      </c>
      <c r="Z48" s="196" t="s">
        <v>126</v>
      </c>
      <c r="AA48" s="196">
        <v>6.3609</v>
      </c>
      <c r="AB48" s="196">
        <v>6.0905</v>
      </c>
      <c r="AC48" s="196">
        <v>5.8162</v>
      </c>
    </row>
    <row r="49" spans="1:29" ht="12.75">
      <c r="A49" s="237">
        <v>40521</v>
      </c>
      <c r="B49" s="238">
        <v>1</v>
      </c>
      <c r="C49" s="238">
        <v>2.5</v>
      </c>
      <c r="D49" s="238">
        <v>3.5</v>
      </c>
      <c r="E49" s="238">
        <v>8.5</v>
      </c>
      <c r="F49" s="240" t="s">
        <v>126</v>
      </c>
      <c r="G49" s="240" t="s">
        <v>126</v>
      </c>
      <c r="H49" s="238">
        <v>10.5</v>
      </c>
      <c r="I49" s="238">
        <v>12</v>
      </c>
      <c r="J49" s="240" t="s">
        <v>126</v>
      </c>
      <c r="K49" s="240" t="s">
        <v>126</v>
      </c>
      <c r="L49" s="240" t="s">
        <v>126</v>
      </c>
      <c r="N49" s="238">
        <v>3</v>
      </c>
      <c r="O49" s="238">
        <v>7.5</v>
      </c>
      <c r="P49" s="238">
        <v>9.5</v>
      </c>
      <c r="Q49" s="238">
        <v>12</v>
      </c>
      <c r="R49" s="238">
        <v>17</v>
      </c>
      <c r="S49" s="238">
        <v>20</v>
      </c>
      <c r="T49" s="238">
        <v>29.5</v>
      </c>
      <c r="U49" s="238"/>
      <c r="V49" s="196">
        <v>3.654</v>
      </c>
      <c r="W49" s="196">
        <v>5.639</v>
      </c>
      <c r="X49" s="196">
        <v>6.1525</v>
      </c>
      <c r="Y49" s="196">
        <v>6.4145</v>
      </c>
      <c r="Z49" s="196" t="s">
        <v>126</v>
      </c>
      <c r="AA49" s="196">
        <v>6.3543</v>
      </c>
      <c r="AB49" s="196">
        <v>6.0897</v>
      </c>
      <c r="AC49" s="196">
        <v>5.7882</v>
      </c>
    </row>
    <row r="50" spans="1:29" ht="12.75">
      <c r="A50" s="237">
        <v>40522</v>
      </c>
      <c r="B50" s="238">
        <v>1</v>
      </c>
      <c r="C50" s="238">
        <v>1.5</v>
      </c>
      <c r="D50" s="238">
        <v>2.5</v>
      </c>
      <c r="E50" s="238">
        <v>8</v>
      </c>
      <c r="F50" s="240" t="s">
        <v>126</v>
      </c>
      <c r="G50" s="240" t="s">
        <v>126</v>
      </c>
      <c r="H50" s="238">
        <v>10</v>
      </c>
      <c r="I50" s="238">
        <v>12</v>
      </c>
      <c r="J50" s="240" t="s">
        <v>126</v>
      </c>
      <c r="K50" s="240" t="s">
        <v>126</v>
      </c>
      <c r="L50" s="240" t="s">
        <v>126</v>
      </c>
      <c r="N50" s="238">
        <v>3</v>
      </c>
      <c r="O50" s="238">
        <v>7.5</v>
      </c>
      <c r="P50" s="238">
        <v>9.5</v>
      </c>
      <c r="Q50" s="238">
        <v>12.5</v>
      </c>
      <c r="R50" s="238">
        <v>17</v>
      </c>
      <c r="S50" s="238">
        <v>20</v>
      </c>
      <c r="T50" s="238">
        <v>29.5</v>
      </c>
      <c r="U50" s="238"/>
      <c r="V50" s="196">
        <v>3.615</v>
      </c>
      <c r="W50" s="196">
        <v>5.5459</v>
      </c>
      <c r="X50" s="196">
        <v>6.042</v>
      </c>
      <c r="Y50" s="196">
        <v>6.2842</v>
      </c>
      <c r="Z50" s="196" t="s">
        <v>126</v>
      </c>
      <c r="AA50" s="196">
        <v>6.2258</v>
      </c>
      <c r="AB50" s="196">
        <v>5.9833</v>
      </c>
      <c r="AC50" s="196">
        <v>5.7188</v>
      </c>
    </row>
    <row r="51" spans="1:29" ht="12.75">
      <c r="A51" s="237">
        <v>40525</v>
      </c>
      <c r="B51" s="238">
        <v>0.5</v>
      </c>
      <c r="C51" s="238">
        <v>1</v>
      </c>
      <c r="D51" s="238">
        <v>2.5</v>
      </c>
      <c r="E51" s="238">
        <v>7.5</v>
      </c>
      <c r="F51" s="240" t="s">
        <v>126</v>
      </c>
      <c r="G51" s="240" t="s">
        <v>126</v>
      </c>
      <c r="H51" s="238">
        <v>9.5</v>
      </c>
      <c r="I51" s="238">
        <v>12</v>
      </c>
      <c r="J51" s="240" t="s">
        <v>126</v>
      </c>
      <c r="K51" s="240" t="s">
        <v>126</v>
      </c>
      <c r="L51" s="240" t="s">
        <v>126</v>
      </c>
      <c r="N51" s="238">
        <v>3</v>
      </c>
      <c r="O51" s="238">
        <v>7</v>
      </c>
      <c r="P51" s="238">
        <v>9.5</v>
      </c>
      <c r="Q51" s="238">
        <v>12</v>
      </c>
      <c r="R51" s="238">
        <v>17</v>
      </c>
      <c r="S51" s="238">
        <v>19.5</v>
      </c>
      <c r="T51" s="238">
        <v>29.5</v>
      </c>
      <c r="U51" s="238"/>
      <c r="V51" s="196">
        <v>3.62</v>
      </c>
      <c r="W51" s="196">
        <v>5.5478</v>
      </c>
      <c r="X51" s="196">
        <v>6.0487</v>
      </c>
      <c r="Y51" s="196">
        <v>6.2892</v>
      </c>
      <c r="Z51" s="196" t="s">
        <v>126</v>
      </c>
      <c r="AA51" s="196">
        <v>6.2213</v>
      </c>
      <c r="AB51" s="196">
        <v>5.9818</v>
      </c>
      <c r="AC51" s="196">
        <v>5.6984</v>
      </c>
    </row>
    <row r="52" spans="1:29" ht="12.75">
      <c r="A52" s="237">
        <v>40526</v>
      </c>
      <c r="B52" s="238">
        <v>0.5</v>
      </c>
      <c r="C52" s="238">
        <v>1.5</v>
      </c>
      <c r="D52" s="238">
        <v>2</v>
      </c>
      <c r="E52" s="238">
        <v>7</v>
      </c>
      <c r="F52" s="240" t="s">
        <v>126</v>
      </c>
      <c r="G52" s="240" t="s">
        <v>126</v>
      </c>
      <c r="H52" s="238">
        <v>9</v>
      </c>
      <c r="I52" s="238">
        <v>12</v>
      </c>
      <c r="J52" s="240" t="s">
        <v>126</v>
      </c>
      <c r="K52" s="240" t="s">
        <v>126</v>
      </c>
      <c r="L52" s="240" t="s">
        <v>126</v>
      </c>
      <c r="N52" s="238">
        <v>3</v>
      </c>
      <c r="O52" s="238">
        <v>6.5</v>
      </c>
      <c r="P52" s="238">
        <v>9.5</v>
      </c>
      <c r="Q52" s="238">
        <v>11.5</v>
      </c>
      <c r="R52" s="238">
        <v>17</v>
      </c>
      <c r="S52" s="238">
        <v>19</v>
      </c>
      <c r="T52" s="238">
        <v>29</v>
      </c>
      <c r="U52" s="238"/>
      <c r="V52" s="196">
        <v>3.6159</v>
      </c>
      <c r="W52" s="196">
        <v>5.5108</v>
      </c>
      <c r="X52" s="196">
        <v>5.9455</v>
      </c>
      <c r="Y52" s="196">
        <v>6.1756</v>
      </c>
      <c r="Z52" s="196" t="s">
        <v>126</v>
      </c>
      <c r="AA52" s="196">
        <v>6.1287</v>
      </c>
      <c r="AB52" s="196">
        <v>5.9366</v>
      </c>
      <c r="AC52" s="196">
        <v>5.6489</v>
      </c>
    </row>
    <row r="53" spans="1:29" ht="12.75">
      <c r="A53" s="237">
        <v>40527</v>
      </c>
      <c r="B53" s="238">
        <v>0.5</v>
      </c>
      <c r="C53" s="238">
        <v>1.5</v>
      </c>
      <c r="D53" s="238">
        <v>2</v>
      </c>
      <c r="E53" s="238">
        <v>7</v>
      </c>
      <c r="F53" s="240" t="s">
        <v>126</v>
      </c>
      <c r="G53" s="240" t="s">
        <v>126</v>
      </c>
      <c r="H53" s="238">
        <v>8.5</v>
      </c>
      <c r="I53" s="238">
        <v>12</v>
      </c>
      <c r="J53" s="240" t="s">
        <v>126</v>
      </c>
      <c r="K53" s="240" t="s">
        <v>126</v>
      </c>
      <c r="L53" s="240" t="s">
        <v>126</v>
      </c>
      <c r="N53" s="238">
        <v>3</v>
      </c>
      <c r="O53" s="238">
        <v>6.5</v>
      </c>
      <c r="P53" s="238">
        <v>9.5</v>
      </c>
      <c r="Q53" s="238">
        <v>11.5</v>
      </c>
      <c r="R53" s="238">
        <v>17</v>
      </c>
      <c r="S53" s="238">
        <v>19</v>
      </c>
      <c r="T53" s="238">
        <v>29</v>
      </c>
      <c r="U53" s="238"/>
      <c r="V53" s="196">
        <v>3.6202</v>
      </c>
      <c r="W53" s="196">
        <v>5.5477</v>
      </c>
      <c r="X53" s="196">
        <v>5.9501</v>
      </c>
      <c r="Y53" s="196">
        <v>6.1949</v>
      </c>
      <c r="Z53" s="196" t="s">
        <v>126</v>
      </c>
      <c r="AA53" s="196">
        <v>6.1351</v>
      </c>
      <c r="AB53" s="196">
        <v>5.9389</v>
      </c>
      <c r="AC53" s="196">
        <v>5.6035</v>
      </c>
    </row>
    <row r="54" spans="1:29" ht="12.75">
      <c r="A54" s="237">
        <v>40528</v>
      </c>
      <c r="B54" s="238">
        <v>0.5</v>
      </c>
      <c r="C54" s="238">
        <v>1.5</v>
      </c>
      <c r="D54" s="238">
        <v>2</v>
      </c>
      <c r="E54" s="238">
        <v>7</v>
      </c>
      <c r="F54" s="240" t="s">
        <v>126</v>
      </c>
      <c r="G54" s="240" t="s">
        <v>126</v>
      </c>
      <c r="H54" s="238">
        <v>8.5</v>
      </c>
      <c r="I54" s="238">
        <v>12</v>
      </c>
      <c r="J54" s="240" t="s">
        <v>126</v>
      </c>
      <c r="K54" s="240" t="s">
        <v>126</v>
      </c>
      <c r="L54" s="240" t="s">
        <v>126</v>
      </c>
      <c r="N54" s="238">
        <v>3</v>
      </c>
      <c r="O54" s="238">
        <v>6.5</v>
      </c>
      <c r="P54" s="238">
        <v>9.5</v>
      </c>
      <c r="Q54" s="238">
        <v>11.5</v>
      </c>
      <c r="R54" s="238">
        <v>17</v>
      </c>
      <c r="S54" s="238">
        <v>19</v>
      </c>
      <c r="T54" s="238">
        <v>28</v>
      </c>
      <c r="U54" s="238"/>
      <c r="V54" s="196">
        <v>3.7228</v>
      </c>
      <c r="W54" s="196">
        <v>5.5778</v>
      </c>
      <c r="X54" s="196">
        <v>5.8894</v>
      </c>
      <c r="Y54" s="196">
        <v>6.13</v>
      </c>
      <c r="Z54" s="196" t="s">
        <v>126</v>
      </c>
      <c r="AA54" s="196">
        <v>6.0692</v>
      </c>
      <c r="AB54" s="196">
        <v>5.9318</v>
      </c>
      <c r="AC54" s="196">
        <v>5.5742</v>
      </c>
    </row>
    <row r="55" spans="1:29" ht="12.75">
      <c r="A55" s="237">
        <v>40529</v>
      </c>
      <c r="B55" s="238">
        <v>0.5</v>
      </c>
      <c r="C55" s="238">
        <v>3</v>
      </c>
      <c r="D55" s="238">
        <v>2</v>
      </c>
      <c r="E55" s="238">
        <v>7</v>
      </c>
      <c r="F55" s="240" t="s">
        <v>126</v>
      </c>
      <c r="G55" s="240" t="s">
        <v>126</v>
      </c>
      <c r="H55" s="238">
        <v>8.5</v>
      </c>
      <c r="I55" s="238">
        <v>12</v>
      </c>
      <c r="J55" s="240" t="s">
        <v>126</v>
      </c>
      <c r="K55" s="240" t="s">
        <v>126</v>
      </c>
      <c r="L55" s="240" t="s">
        <v>126</v>
      </c>
      <c r="N55" s="238">
        <v>3</v>
      </c>
      <c r="O55" s="238">
        <v>6.5</v>
      </c>
      <c r="P55" s="238">
        <v>9.5</v>
      </c>
      <c r="Q55" s="238">
        <v>11</v>
      </c>
      <c r="R55" s="238">
        <v>16.5</v>
      </c>
      <c r="S55" s="238">
        <v>19</v>
      </c>
      <c r="T55" s="238">
        <v>28</v>
      </c>
      <c r="U55" s="238"/>
      <c r="V55" s="196">
        <v>3.7237</v>
      </c>
      <c r="W55" s="196">
        <v>5.6668</v>
      </c>
      <c r="X55" s="196">
        <v>5.88</v>
      </c>
      <c r="Y55" s="196">
        <v>6.1104</v>
      </c>
      <c r="Z55" s="196" t="s">
        <v>126</v>
      </c>
      <c r="AA55" s="196">
        <v>6.065</v>
      </c>
      <c r="AB55" s="196">
        <v>5.9197</v>
      </c>
      <c r="AC55" s="196">
        <v>5.5363</v>
      </c>
    </row>
    <row r="56" spans="1:29" ht="12.75">
      <c r="A56" s="237">
        <v>40532</v>
      </c>
      <c r="B56" s="238">
        <v>0.5</v>
      </c>
      <c r="C56" s="238">
        <v>3</v>
      </c>
      <c r="D56" s="238">
        <v>2</v>
      </c>
      <c r="E56" s="238">
        <v>7.5</v>
      </c>
      <c r="F56" s="240" t="s">
        <v>126</v>
      </c>
      <c r="G56" s="240" t="s">
        <v>126</v>
      </c>
      <c r="H56" s="238">
        <v>8</v>
      </c>
      <c r="I56" s="238">
        <v>12.5</v>
      </c>
      <c r="J56" s="240" t="s">
        <v>126</v>
      </c>
      <c r="K56" s="240" t="s">
        <v>126</v>
      </c>
      <c r="L56" s="240" t="s">
        <v>126</v>
      </c>
      <c r="N56" s="238">
        <v>3</v>
      </c>
      <c r="O56" s="238">
        <v>6.5</v>
      </c>
      <c r="P56" s="238">
        <v>9.5</v>
      </c>
      <c r="Q56" s="238">
        <v>11.5</v>
      </c>
      <c r="R56" s="238">
        <v>16.5</v>
      </c>
      <c r="S56" s="238">
        <v>19</v>
      </c>
      <c r="T56" s="238">
        <v>27.5</v>
      </c>
      <c r="U56" s="238"/>
      <c r="V56" s="196">
        <v>3.7754</v>
      </c>
      <c r="W56" s="196">
        <v>5.7554</v>
      </c>
      <c r="X56" s="196">
        <v>5.897</v>
      </c>
      <c r="Y56" s="196">
        <v>6.111</v>
      </c>
      <c r="Z56" s="196" t="s">
        <v>126</v>
      </c>
      <c r="AA56" s="196">
        <v>6.0569</v>
      </c>
      <c r="AB56" s="196">
        <v>5.9201</v>
      </c>
      <c r="AC56" s="196">
        <v>5.5578</v>
      </c>
    </row>
    <row r="57" spans="1:29" ht="12.75">
      <c r="A57" s="237">
        <v>40533</v>
      </c>
      <c r="B57" s="238">
        <v>1</v>
      </c>
      <c r="C57" s="238">
        <v>3</v>
      </c>
      <c r="D57" s="238">
        <v>2</v>
      </c>
      <c r="E57" s="238">
        <v>7.5</v>
      </c>
      <c r="F57" s="240" t="s">
        <v>126</v>
      </c>
      <c r="G57" s="240" t="s">
        <v>126</v>
      </c>
      <c r="H57" s="238">
        <v>8.5</v>
      </c>
      <c r="I57" s="238">
        <v>12</v>
      </c>
      <c r="J57" s="240" t="s">
        <v>126</v>
      </c>
      <c r="K57" s="240" t="s">
        <v>126</v>
      </c>
      <c r="L57" s="240" t="s">
        <v>126</v>
      </c>
      <c r="N57" s="238">
        <v>3</v>
      </c>
      <c r="O57" s="238">
        <v>6.5</v>
      </c>
      <c r="P57" s="238">
        <v>9.5</v>
      </c>
      <c r="Q57" s="238">
        <v>11.5</v>
      </c>
      <c r="R57" s="238">
        <v>16.5</v>
      </c>
      <c r="S57" s="238">
        <v>19</v>
      </c>
      <c r="T57" s="238">
        <v>27.5</v>
      </c>
      <c r="U57" s="238"/>
      <c r="V57" s="196">
        <v>3.8656</v>
      </c>
      <c r="W57" s="196">
        <v>5.8548</v>
      </c>
      <c r="X57" s="196">
        <v>5.9653</v>
      </c>
      <c r="Y57" s="196">
        <v>6.1898</v>
      </c>
      <c r="Z57" s="196" t="s">
        <v>126</v>
      </c>
      <c r="AA57" s="196">
        <v>6.0818</v>
      </c>
      <c r="AB57" s="196">
        <v>5.9263</v>
      </c>
      <c r="AC57" s="196">
        <v>5.5356</v>
      </c>
    </row>
    <row r="58" spans="1:29" ht="12.75">
      <c r="A58" s="237">
        <v>40534</v>
      </c>
      <c r="B58" s="238">
        <v>1</v>
      </c>
      <c r="C58" s="238">
        <v>3</v>
      </c>
      <c r="D58" s="238">
        <v>2</v>
      </c>
      <c r="E58" s="238">
        <v>7.5</v>
      </c>
      <c r="F58" s="240" t="s">
        <v>126</v>
      </c>
      <c r="G58" s="240" t="s">
        <v>126</v>
      </c>
      <c r="H58" s="238">
        <v>8</v>
      </c>
      <c r="I58" s="238">
        <v>12</v>
      </c>
      <c r="J58" s="240" t="s">
        <v>126</v>
      </c>
      <c r="K58" s="240" t="s">
        <v>126</v>
      </c>
      <c r="L58" s="240" t="s">
        <v>126</v>
      </c>
      <c r="N58" s="238">
        <v>3</v>
      </c>
      <c r="O58" s="238">
        <v>6</v>
      </c>
      <c r="P58" s="238">
        <v>9</v>
      </c>
      <c r="Q58" s="238">
        <v>11.5</v>
      </c>
      <c r="R58" s="238">
        <v>16.5</v>
      </c>
      <c r="S58" s="238">
        <v>19</v>
      </c>
      <c r="T58" s="238">
        <v>27</v>
      </c>
      <c r="U58" s="238"/>
      <c r="V58" s="196">
        <v>4.0862</v>
      </c>
      <c r="W58" s="196">
        <v>5.8699</v>
      </c>
      <c r="X58" s="196">
        <v>6.1081</v>
      </c>
      <c r="Y58" s="196">
        <v>6.2926</v>
      </c>
      <c r="Z58" s="196" t="s">
        <v>126</v>
      </c>
      <c r="AA58" s="196">
        <v>6.0959</v>
      </c>
      <c r="AB58" s="196">
        <v>5.9359</v>
      </c>
      <c r="AC58" s="196">
        <v>5.5204</v>
      </c>
    </row>
    <row r="59" spans="1:29" ht="12.75">
      <c r="A59" s="237">
        <v>40535</v>
      </c>
      <c r="B59" s="238">
        <v>1</v>
      </c>
      <c r="C59" s="238">
        <v>3.5</v>
      </c>
      <c r="D59" s="238">
        <v>2.5</v>
      </c>
      <c r="E59" s="238">
        <v>7.5</v>
      </c>
      <c r="F59" s="240" t="s">
        <v>126</v>
      </c>
      <c r="G59" s="240" t="s">
        <v>126</v>
      </c>
      <c r="H59" s="238">
        <v>8</v>
      </c>
      <c r="I59" s="238">
        <v>12</v>
      </c>
      <c r="J59" s="240" t="s">
        <v>126</v>
      </c>
      <c r="K59" s="240" t="s">
        <v>126</v>
      </c>
      <c r="L59" s="240" t="s">
        <v>126</v>
      </c>
      <c r="N59" s="238">
        <v>3</v>
      </c>
      <c r="O59" s="238">
        <v>6</v>
      </c>
      <c r="P59" s="238">
        <v>9</v>
      </c>
      <c r="Q59" s="238">
        <v>11.5</v>
      </c>
      <c r="R59" s="238">
        <v>15</v>
      </c>
      <c r="S59" s="238">
        <v>18.5</v>
      </c>
      <c r="T59" s="238">
        <v>27</v>
      </c>
      <c r="U59" s="238"/>
      <c r="V59" s="196">
        <v>4.1125</v>
      </c>
      <c r="W59" s="196">
        <v>5.9037</v>
      </c>
      <c r="X59" s="196">
        <v>6.1653</v>
      </c>
      <c r="Y59" s="196">
        <v>6.318</v>
      </c>
      <c r="Z59" s="196" t="s">
        <v>126</v>
      </c>
      <c r="AA59" s="196">
        <v>6.134</v>
      </c>
      <c r="AB59" s="196">
        <v>5.9492</v>
      </c>
      <c r="AC59" s="196">
        <v>5.5104</v>
      </c>
    </row>
    <row r="60" spans="1:29" ht="12.75">
      <c r="A60" s="237">
        <v>40536</v>
      </c>
      <c r="B60" s="238">
        <v>1</v>
      </c>
      <c r="C60" s="238">
        <v>3.5</v>
      </c>
      <c r="D60" s="238">
        <v>2.5</v>
      </c>
      <c r="E60" s="238">
        <v>7.5</v>
      </c>
      <c r="F60" s="240" t="s">
        <v>126</v>
      </c>
      <c r="G60" s="240" t="s">
        <v>126</v>
      </c>
      <c r="H60" s="238">
        <v>8</v>
      </c>
      <c r="I60" s="238">
        <v>12</v>
      </c>
      <c r="J60" s="240" t="s">
        <v>126</v>
      </c>
      <c r="K60" s="240" t="s">
        <v>126</v>
      </c>
      <c r="L60" s="240" t="s">
        <v>126</v>
      </c>
      <c r="N60" s="238">
        <v>2</v>
      </c>
      <c r="O60" s="238">
        <v>6</v>
      </c>
      <c r="P60" s="238">
        <v>9</v>
      </c>
      <c r="Q60" s="238">
        <v>11.5</v>
      </c>
      <c r="R60" s="238">
        <v>15</v>
      </c>
      <c r="S60" s="238">
        <v>18.5</v>
      </c>
      <c r="T60" s="238">
        <v>27</v>
      </c>
      <c r="U60" s="238"/>
      <c r="V60" s="196">
        <v>4.1125</v>
      </c>
      <c r="W60" s="196">
        <v>5.9037</v>
      </c>
      <c r="X60" s="196">
        <v>6.1653</v>
      </c>
      <c r="Y60" s="196">
        <v>6.318</v>
      </c>
      <c r="Z60" s="196" t="s">
        <v>126</v>
      </c>
      <c r="AA60" s="196">
        <v>6.134</v>
      </c>
      <c r="AB60" s="196">
        <v>5.9492</v>
      </c>
      <c r="AC60" s="196">
        <v>5.5104</v>
      </c>
    </row>
    <row r="61" spans="1:29" ht="12.75">
      <c r="A61" s="237">
        <v>40539</v>
      </c>
      <c r="B61" s="238">
        <v>1</v>
      </c>
      <c r="C61" s="238">
        <v>3</v>
      </c>
      <c r="D61" s="238">
        <v>2.5</v>
      </c>
      <c r="E61" s="238">
        <v>6.5</v>
      </c>
      <c r="F61" s="240" t="s">
        <v>126</v>
      </c>
      <c r="G61" s="240" t="s">
        <v>126</v>
      </c>
      <c r="H61" s="238">
        <v>7.5</v>
      </c>
      <c r="I61" s="238">
        <v>11.5</v>
      </c>
      <c r="J61" s="240" t="s">
        <v>126</v>
      </c>
      <c r="K61" s="240" t="s">
        <v>126</v>
      </c>
      <c r="L61" s="240" t="s">
        <v>126</v>
      </c>
      <c r="N61" s="238">
        <v>2</v>
      </c>
      <c r="O61" s="238">
        <v>6</v>
      </c>
      <c r="P61" s="238">
        <v>8.5</v>
      </c>
      <c r="Q61" s="238">
        <v>11</v>
      </c>
      <c r="R61" s="238">
        <v>15</v>
      </c>
      <c r="S61" s="238">
        <v>18.5</v>
      </c>
      <c r="T61" s="238">
        <v>27</v>
      </c>
      <c r="U61" s="238"/>
      <c r="V61" s="196">
        <v>4.095</v>
      </c>
      <c r="W61" s="196">
        <v>5.895</v>
      </c>
      <c r="X61" s="196">
        <v>6.1651</v>
      </c>
      <c r="Y61" s="196">
        <v>6.3157</v>
      </c>
      <c r="Z61" s="196" t="s">
        <v>126</v>
      </c>
      <c r="AA61" s="196">
        <v>6.1316</v>
      </c>
      <c r="AB61" s="196">
        <v>5.9406</v>
      </c>
      <c r="AC61" s="196">
        <v>5.5099</v>
      </c>
    </row>
    <row r="62" spans="1:29" ht="12.75">
      <c r="A62" s="237">
        <v>40540</v>
      </c>
      <c r="B62" s="238">
        <v>1</v>
      </c>
      <c r="C62" s="238">
        <v>3</v>
      </c>
      <c r="D62" s="238">
        <v>3</v>
      </c>
      <c r="E62" s="238">
        <v>6.5</v>
      </c>
      <c r="F62" s="240" t="s">
        <v>126</v>
      </c>
      <c r="G62" s="240" t="s">
        <v>126</v>
      </c>
      <c r="H62" s="238">
        <v>7.5</v>
      </c>
      <c r="I62" s="238">
        <v>11</v>
      </c>
      <c r="J62" s="240" t="s">
        <v>126</v>
      </c>
      <c r="K62" s="240" t="s">
        <v>126</v>
      </c>
      <c r="L62" s="240" t="s">
        <v>126</v>
      </c>
      <c r="N62" s="238">
        <v>1</v>
      </c>
      <c r="O62" s="238">
        <v>6</v>
      </c>
      <c r="P62" s="238">
        <v>8.5</v>
      </c>
      <c r="Q62" s="238">
        <v>11</v>
      </c>
      <c r="R62" s="238">
        <v>14.5</v>
      </c>
      <c r="S62" s="238">
        <v>18</v>
      </c>
      <c r="T62" s="238">
        <v>27</v>
      </c>
      <c r="U62" s="238"/>
      <c r="V62" s="196">
        <v>4.0499</v>
      </c>
      <c r="W62" s="196">
        <v>5.8591</v>
      </c>
      <c r="X62" s="196">
        <v>6.1292</v>
      </c>
      <c r="Y62" s="196">
        <v>6.2531</v>
      </c>
      <c r="Z62" s="196" t="s">
        <v>126</v>
      </c>
      <c r="AA62" s="196">
        <v>6.1066</v>
      </c>
      <c r="AB62" s="196">
        <v>5.924</v>
      </c>
      <c r="AC62" s="196">
        <v>5.5077</v>
      </c>
    </row>
    <row r="63" spans="1:29" ht="12.75">
      <c r="A63" s="237">
        <v>40541</v>
      </c>
      <c r="B63" s="238">
        <v>1</v>
      </c>
      <c r="C63" s="238">
        <v>1.5</v>
      </c>
      <c r="D63" s="238">
        <v>2</v>
      </c>
      <c r="E63" s="238">
        <v>6</v>
      </c>
      <c r="F63" s="240" t="s">
        <v>126</v>
      </c>
      <c r="G63" s="240" t="s">
        <v>126</v>
      </c>
      <c r="H63" s="238">
        <v>7.5</v>
      </c>
      <c r="I63" s="238">
        <v>11</v>
      </c>
      <c r="J63" s="240" t="s">
        <v>126</v>
      </c>
      <c r="K63" s="240" t="s">
        <v>126</v>
      </c>
      <c r="L63" s="240" t="s">
        <v>126</v>
      </c>
      <c r="N63" s="238">
        <v>1</v>
      </c>
      <c r="O63" s="238">
        <v>6</v>
      </c>
      <c r="P63" s="238">
        <v>8.5</v>
      </c>
      <c r="Q63" s="238">
        <v>11.5</v>
      </c>
      <c r="R63" s="238">
        <v>14.5</v>
      </c>
      <c r="S63" s="238">
        <v>18</v>
      </c>
      <c r="T63" s="238">
        <v>27</v>
      </c>
      <c r="U63" s="238"/>
      <c r="V63" s="196">
        <v>4.0482</v>
      </c>
      <c r="W63" s="196">
        <v>5.8507</v>
      </c>
      <c r="X63" s="196">
        <v>6.1062</v>
      </c>
      <c r="Y63" s="196">
        <v>6.2095</v>
      </c>
      <c r="Z63" s="196" t="s">
        <v>126</v>
      </c>
      <c r="AA63" s="196">
        <v>6.1107</v>
      </c>
      <c r="AB63" s="196">
        <v>5.9223</v>
      </c>
      <c r="AC63" s="196">
        <v>5.5166</v>
      </c>
    </row>
    <row r="64" spans="1:29" ht="12.75">
      <c r="A64" s="237">
        <v>40542</v>
      </c>
      <c r="B64" s="238">
        <v>1</v>
      </c>
      <c r="C64" s="238">
        <v>1</v>
      </c>
      <c r="D64" s="238">
        <v>2</v>
      </c>
      <c r="E64" s="238">
        <v>6</v>
      </c>
      <c r="F64" s="240" t="s">
        <v>126</v>
      </c>
      <c r="G64" s="240" t="s">
        <v>126</v>
      </c>
      <c r="H64" s="238">
        <v>7.5</v>
      </c>
      <c r="I64" s="238">
        <v>11</v>
      </c>
      <c r="J64" s="240" t="s">
        <v>126</v>
      </c>
      <c r="K64" s="240" t="s">
        <v>126</v>
      </c>
      <c r="L64" s="240" t="s">
        <v>126</v>
      </c>
      <c r="N64" s="238">
        <v>1</v>
      </c>
      <c r="O64" s="238">
        <v>6</v>
      </c>
      <c r="P64" s="238">
        <v>8.5</v>
      </c>
      <c r="Q64" s="238">
        <v>11</v>
      </c>
      <c r="R64" s="238">
        <v>14.5</v>
      </c>
      <c r="S64" s="238">
        <v>18.5</v>
      </c>
      <c r="T64" s="238">
        <v>27</v>
      </c>
      <c r="U64" s="238"/>
      <c r="V64" s="196">
        <v>4.0125</v>
      </c>
      <c r="W64" s="196">
        <v>5.8252</v>
      </c>
      <c r="X64" s="196">
        <v>6.0741</v>
      </c>
      <c r="Y64" s="196">
        <v>6.1907</v>
      </c>
      <c r="Z64" s="196" t="s">
        <v>126</v>
      </c>
      <c r="AA64" s="196">
        <v>6.0986</v>
      </c>
      <c r="AB64" s="196">
        <v>5.9073</v>
      </c>
      <c r="AC64" s="196">
        <v>5.4975</v>
      </c>
    </row>
    <row r="65" spans="1:29" ht="12.75">
      <c r="A65" s="237">
        <v>40546</v>
      </c>
      <c r="B65" s="240" t="s">
        <v>126</v>
      </c>
      <c r="C65" s="238">
        <v>1.5</v>
      </c>
      <c r="D65" s="238">
        <v>2</v>
      </c>
      <c r="E65" s="238">
        <v>6</v>
      </c>
      <c r="F65" s="240" t="s">
        <v>126</v>
      </c>
      <c r="G65" s="240" t="s">
        <v>126</v>
      </c>
      <c r="H65" s="238">
        <v>7</v>
      </c>
      <c r="I65" s="238">
        <v>11</v>
      </c>
      <c r="J65" s="240" t="s">
        <v>126</v>
      </c>
      <c r="K65" s="240" t="s">
        <v>126</v>
      </c>
      <c r="L65" s="238">
        <v>13</v>
      </c>
      <c r="N65" s="240" t="s">
        <v>126</v>
      </c>
      <c r="O65" s="238">
        <v>6</v>
      </c>
      <c r="P65" s="238">
        <v>7.5</v>
      </c>
      <c r="Q65" s="238">
        <v>11.5</v>
      </c>
      <c r="R65" s="238">
        <v>14.5</v>
      </c>
      <c r="S65" s="238">
        <v>18.5</v>
      </c>
      <c r="T65" s="238">
        <v>26.5</v>
      </c>
      <c r="U65" s="238"/>
      <c r="V65" s="196">
        <v>5.7918</v>
      </c>
      <c r="W65" s="196">
        <v>6.0477</v>
      </c>
      <c r="X65" s="196">
        <v>6.1582</v>
      </c>
      <c r="Y65" s="196">
        <v>6.2</v>
      </c>
      <c r="Z65" s="196" t="s">
        <v>126</v>
      </c>
      <c r="AA65" s="196">
        <v>6.0756</v>
      </c>
      <c r="AB65" s="196">
        <v>5.9037</v>
      </c>
      <c r="AC65" s="196">
        <v>5.5414</v>
      </c>
    </row>
    <row r="66" spans="1:29" ht="12.75">
      <c r="A66" s="237">
        <v>40547</v>
      </c>
      <c r="B66" s="240" t="s">
        <v>126</v>
      </c>
      <c r="C66" s="238">
        <v>1.5</v>
      </c>
      <c r="D66" s="238">
        <v>2</v>
      </c>
      <c r="E66" s="238">
        <v>6</v>
      </c>
      <c r="F66" s="240" t="s">
        <v>126</v>
      </c>
      <c r="G66" s="240" t="s">
        <v>126</v>
      </c>
      <c r="H66" s="238">
        <v>7</v>
      </c>
      <c r="I66" s="238">
        <v>11</v>
      </c>
      <c r="J66" s="240" t="s">
        <v>126</v>
      </c>
      <c r="K66" s="240" t="s">
        <v>126</v>
      </c>
      <c r="L66" s="238">
        <v>13</v>
      </c>
      <c r="N66" s="240" t="s">
        <v>126</v>
      </c>
      <c r="O66" s="238">
        <v>6</v>
      </c>
      <c r="P66" s="238">
        <v>7.5</v>
      </c>
      <c r="Q66" s="238">
        <v>10.5</v>
      </c>
      <c r="R66" s="238">
        <v>14.5</v>
      </c>
      <c r="S66" s="238">
        <v>19</v>
      </c>
      <c r="T66" s="238">
        <v>27</v>
      </c>
      <c r="U66" s="238"/>
      <c r="V66" s="196">
        <v>5.7929</v>
      </c>
      <c r="W66" s="196">
        <v>6.0503</v>
      </c>
      <c r="X66" s="196">
        <v>6.1675</v>
      </c>
      <c r="Y66" s="196">
        <v>6.23</v>
      </c>
      <c r="Z66" s="196" t="s">
        <v>126</v>
      </c>
      <c r="AA66" s="196">
        <v>6.0913</v>
      </c>
      <c r="AB66" s="196">
        <v>5.9307</v>
      </c>
      <c r="AC66" s="196">
        <v>5.5703</v>
      </c>
    </row>
    <row r="67" spans="1:29" ht="12.75">
      <c r="A67" s="237">
        <v>40548</v>
      </c>
      <c r="B67" s="240" t="s">
        <v>126</v>
      </c>
      <c r="C67" s="238">
        <v>2</v>
      </c>
      <c r="D67" s="238">
        <v>2</v>
      </c>
      <c r="E67" s="238">
        <v>6</v>
      </c>
      <c r="F67" s="240" t="s">
        <v>126</v>
      </c>
      <c r="G67" s="240" t="s">
        <v>126</v>
      </c>
      <c r="H67" s="238">
        <v>7</v>
      </c>
      <c r="I67" s="238">
        <v>11</v>
      </c>
      <c r="J67" s="240" t="s">
        <v>126</v>
      </c>
      <c r="K67" s="240" t="s">
        <v>126</v>
      </c>
      <c r="L67" s="238">
        <v>11</v>
      </c>
      <c r="N67" s="240" t="s">
        <v>126</v>
      </c>
      <c r="O67" s="238">
        <v>6</v>
      </c>
      <c r="P67" s="238">
        <v>7.5</v>
      </c>
      <c r="Q67" s="238">
        <v>10.5</v>
      </c>
      <c r="R67" s="238">
        <v>15</v>
      </c>
      <c r="S67" s="238">
        <v>19</v>
      </c>
      <c r="T67" s="238">
        <v>26.5</v>
      </c>
      <c r="U67" s="238"/>
      <c r="V67" s="196">
        <v>5.7863</v>
      </c>
      <c r="W67" s="196">
        <v>6.0515</v>
      </c>
      <c r="X67" s="196">
        <v>6.1721</v>
      </c>
      <c r="Y67" s="196">
        <v>6.32</v>
      </c>
      <c r="Z67" s="196" t="s">
        <v>126</v>
      </c>
      <c r="AA67" s="196">
        <v>6.0907</v>
      </c>
      <c r="AB67" s="196">
        <v>5.9298</v>
      </c>
      <c r="AC67" s="196">
        <v>5.6143</v>
      </c>
    </row>
    <row r="68" spans="1:29" ht="12.75">
      <c r="A68" s="237">
        <v>40549</v>
      </c>
      <c r="B68" s="240" t="s">
        <v>126</v>
      </c>
      <c r="C68" s="238">
        <v>2.5</v>
      </c>
      <c r="D68" s="238">
        <v>3</v>
      </c>
      <c r="E68" s="238">
        <v>6</v>
      </c>
      <c r="F68" s="240" t="s">
        <v>126</v>
      </c>
      <c r="G68" s="240" t="s">
        <v>126</v>
      </c>
      <c r="H68" s="238">
        <v>7.5</v>
      </c>
      <c r="I68" s="238">
        <v>10.5</v>
      </c>
      <c r="J68" s="240" t="s">
        <v>126</v>
      </c>
      <c r="K68" s="240" t="s">
        <v>126</v>
      </c>
      <c r="L68" s="238">
        <v>13</v>
      </c>
      <c r="N68" s="240" t="s">
        <v>126</v>
      </c>
      <c r="O68" s="238">
        <v>6</v>
      </c>
      <c r="P68" s="238">
        <v>7.5</v>
      </c>
      <c r="Q68" s="238">
        <v>10.5</v>
      </c>
      <c r="R68" s="238">
        <v>14</v>
      </c>
      <c r="S68" s="238">
        <v>18.5</v>
      </c>
      <c r="T68" s="238">
        <v>26.5</v>
      </c>
      <c r="U68" s="238"/>
      <c r="V68" s="196">
        <v>5.7864</v>
      </c>
      <c r="W68" s="196">
        <v>6.0453</v>
      </c>
      <c r="X68" s="196">
        <v>6.1699</v>
      </c>
      <c r="Y68" s="196">
        <v>6.4</v>
      </c>
      <c r="Z68" s="196" t="s">
        <v>126</v>
      </c>
      <c r="AA68" s="196">
        <v>6.1089</v>
      </c>
      <c r="AB68" s="196">
        <v>5.9512</v>
      </c>
      <c r="AC68" s="196">
        <v>5.6434</v>
      </c>
    </row>
    <row r="69" spans="1:29" ht="12.75">
      <c r="A69" s="237">
        <v>40550</v>
      </c>
      <c r="B69" s="240" t="s">
        <v>126</v>
      </c>
      <c r="C69" s="238">
        <v>2.5</v>
      </c>
      <c r="D69" s="238">
        <v>3</v>
      </c>
      <c r="E69" s="238">
        <v>6</v>
      </c>
      <c r="F69" s="240" t="s">
        <v>126</v>
      </c>
      <c r="G69" s="240" t="s">
        <v>126</v>
      </c>
      <c r="H69" s="238">
        <v>7.5</v>
      </c>
      <c r="I69" s="238">
        <v>11</v>
      </c>
      <c r="J69" s="240" t="s">
        <v>126</v>
      </c>
      <c r="K69" s="240" t="s">
        <v>126</v>
      </c>
      <c r="L69" s="238">
        <v>13</v>
      </c>
      <c r="N69" s="240" t="s">
        <v>126</v>
      </c>
      <c r="O69" s="238">
        <v>6</v>
      </c>
      <c r="P69" s="238">
        <v>8</v>
      </c>
      <c r="Q69" s="238">
        <v>10.5</v>
      </c>
      <c r="R69" s="238">
        <v>14.5</v>
      </c>
      <c r="S69" s="238">
        <v>19</v>
      </c>
      <c r="T69" s="238">
        <v>26.5</v>
      </c>
      <c r="U69" s="238"/>
      <c r="V69" s="196">
        <v>5.75</v>
      </c>
      <c r="W69" s="196">
        <v>6.0578</v>
      </c>
      <c r="X69" s="196">
        <v>6.2482</v>
      </c>
      <c r="Y69" s="196">
        <v>6.35</v>
      </c>
      <c r="Z69" s="196" t="s">
        <v>126</v>
      </c>
      <c r="AA69" s="196">
        <v>6.1709</v>
      </c>
      <c r="AB69" s="196">
        <v>6.0222</v>
      </c>
      <c r="AC69" s="196">
        <v>5.721</v>
      </c>
    </row>
    <row r="70" spans="1:29" ht="12.75">
      <c r="A70" s="237">
        <v>40553</v>
      </c>
      <c r="B70" s="240" t="s">
        <v>126</v>
      </c>
      <c r="C70" s="238">
        <v>1</v>
      </c>
      <c r="D70" s="238">
        <v>2.5</v>
      </c>
      <c r="E70" s="238">
        <v>3</v>
      </c>
      <c r="F70" s="240" t="s">
        <v>126</v>
      </c>
      <c r="G70" s="240" t="s">
        <v>126</v>
      </c>
      <c r="H70" s="238">
        <v>7.5</v>
      </c>
      <c r="I70" s="238">
        <v>11</v>
      </c>
      <c r="J70" s="240" t="s">
        <v>126</v>
      </c>
      <c r="K70" s="240" t="s">
        <v>126</v>
      </c>
      <c r="L70" s="238">
        <v>13</v>
      </c>
      <c r="N70" s="240" t="s">
        <v>126</v>
      </c>
      <c r="O70" s="238">
        <v>6</v>
      </c>
      <c r="P70" s="238">
        <v>8</v>
      </c>
      <c r="Q70" s="238">
        <v>10.5</v>
      </c>
      <c r="R70" s="238">
        <v>14</v>
      </c>
      <c r="S70" s="238">
        <v>19</v>
      </c>
      <c r="T70" s="238">
        <v>27</v>
      </c>
      <c r="U70" s="238"/>
      <c r="V70" s="196">
        <v>5.7529</v>
      </c>
      <c r="W70" s="196">
        <v>6.1251</v>
      </c>
      <c r="X70" s="196">
        <v>6.32</v>
      </c>
      <c r="Y70" s="196">
        <v>6.32</v>
      </c>
      <c r="Z70" s="196" t="s">
        <v>126</v>
      </c>
      <c r="AA70" s="196">
        <v>6.225</v>
      </c>
      <c r="AB70" s="196">
        <v>6.0745</v>
      </c>
      <c r="AC70" s="196">
        <v>5.749</v>
      </c>
    </row>
    <row r="71" spans="1:29" ht="12.75">
      <c r="A71" s="237">
        <v>40554</v>
      </c>
      <c r="B71" s="240" t="s">
        <v>126</v>
      </c>
      <c r="C71" s="238">
        <v>1.5</v>
      </c>
      <c r="D71" s="238">
        <v>3</v>
      </c>
      <c r="E71" s="238">
        <v>3</v>
      </c>
      <c r="F71" s="240" t="s">
        <v>126</v>
      </c>
      <c r="G71" s="240" t="s">
        <v>126</v>
      </c>
      <c r="H71" s="238">
        <v>7</v>
      </c>
      <c r="I71" s="238">
        <v>11</v>
      </c>
      <c r="J71" s="240" t="s">
        <v>126</v>
      </c>
      <c r="K71" s="240" t="s">
        <v>126</v>
      </c>
      <c r="L71" s="238">
        <v>13</v>
      </c>
      <c r="N71" s="240" t="s">
        <v>126</v>
      </c>
      <c r="O71" s="238">
        <v>6</v>
      </c>
      <c r="P71" s="238">
        <v>7.5</v>
      </c>
      <c r="Q71" s="238">
        <v>10.5</v>
      </c>
      <c r="R71" s="238">
        <v>14.5</v>
      </c>
      <c r="S71" s="238">
        <v>19.5</v>
      </c>
      <c r="T71" s="238">
        <v>27.5</v>
      </c>
      <c r="U71" s="238"/>
      <c r="V71" s="196">
        <v>5.6383</v>
      </c>
      <c r="W71" s="196">
        <v>6.0804</v>
      </c>
      <c r="X71" s="196">
        <v>6.2806</v>
      </c>
      <c r="Y71" s="196">
        <v>6.24</v>
      </c>
      <c r="Z71" s="196" t="s">
        <v>126</v>
      </c>
      <c r="AA71" s="196">
        <v>6.2177</v>
      </c>
      <c r="AB71" s="196">
        <v>6.048</v>
      </c>
      <c r="AC71" s="196">
        <v>5.741</v>
      </c>
    </row>
    <row r="72" spans="1:29" ht="12.75">
      <c r="A72" s="237">
        <v>40555</v>
      </c>
      <c r="B72" s="240" t="s">
        <v>126</v>
      </c>
      <c r="C72" s="238">
        <v>1.5</v>
      </c>
      <c r="D72" s="238">
        <v>3</v>
      </c>
      <c r="E72" s="238">
        <v>3.5</v>
      </c>
      <c r="F72" s="240" t="s">
        <v>126</v>
      </c>
      <c r="G72" s="240" t="s">
        <v>126</v>
      </c>
      <c r="H72" s="238">
        <v>7</v>
      </c>
      <c r="I72" s="238">
        <v>11</v>
      </c>
      <c r="J72" s="240" t="s">
        <v>126</v>
      </c>
      <c r="K72" s="240" t="s">
        <v>126</v>
      </c>
      <c r="L72" s="238">
        <v>13</v>
      </c>
      <c r="N72" s="240" t="s">
        <v>126</v>
      </c>
      <c r="O72" s="238">
        <v>5.5</v>
      </c>
      <c r="P72" s="238">
        <v>7</v>
      </c>
      <c r="Q72" s="238">
        <v>10.5</v>
      </c>
      <c r="R72" s="238">
        <v>14</v>
      </c>
      <c r="S72" s="238">
        <v>20</v>
      </c>
      <c r="T72" s="238">
        <v>27</v>
      </c>
      <c r="U72" s="238"/>
      <c r="V72" s="196">
        <v>5.5953</v>
      </c>
      <c r="W72" s="196">
        <v>6.0418</v>
      </c>
      <c r="X72" s="196">
        <v>6.2554</v>
      </c>
      <c r="Y72" s="196">
        <v>6.3</v>
      </c>
      <c r="Z72" s="196" t="s">
        <v>126</v>
      </c>
      <c r="AA72" s="196">
        <v>6.216</v>
      </c>
      <c r="AB72" s="196">
        <v>6.0288</v>
      </c>
      <c r="AC72" s="196">
        <v>5.7222</v>
      </c>
    </row>
    <row r="73" spans="1:29" ht="12.75">
      <c r="A73" s="237">
        <v>40556</v>
      </c>
      <c r="B73" s="240" t="s">
        <v>126</v>
      </c>
      <c r="C73" s="238">
        <v>1.5</v>
      </c>
      <c r="D73" s="238">
        <v>3</v>
      </c>
      <c r="E73" s="238">
        <v>3.5</v>
      </c>
      <c r="F73" s="240" t="s">
        <v>126</v>
      </c>
      <c r="G73" s="240" t="s">
        <v>126</v>
      </c>
      <c r="H73" s="238">
        <v>7</v>
      </c>
      <c r="I73" s="238">
        <v>11</v>
      </c>
      <c r="J73" s="240" t="s">
        <v>126</v>
      </c>
      <c r="K73" s="240" t="s">
        <v>126</v>
      </c>
      <c r="L73" s="238">
        <v>14</v>
      </c>
      <c r="N73" s="240" t="s">
        <v>126</v>
      </c>
      <c r="O73" s="238">
        <v>5</v>
      </c>
      <c r="P73" s="238">
        <v>7</v>
      </c>
      <c r="Q73" s="238">
        <v>10.5</v>
      </c>
      <c r="R73" s="238">
        <v>14</v>
      </c>
      <c r="S73" s="238">
        <v>20</v>
      </c>
      <c r="T73" s="238">
        <v>27</v>
      </c>
      <c r="U73" s="238"/>
      <c r="V73" s="196">
        <v>5.5033</v>
      </c>
      <c r="W73" s="196">
        <v>5.9793</v>
      </c>
      <c r="X73" s="196">
        <v>6.1661</v>
      </c>
      <c r="Y73" s="196">
        <v>6.31</v>
      </c>
      <c r="Z73" s="196" t="s">
        <v>126</v>
      </c>
      <c r="AA73" s="196">
        <v>6.1599</v>
      </c>
      <c r="AB73" s="196">
        <v>5.954</v>
      </c>
      <c r="AC73" s="196">
        <v>5.7025</v>
      </c>
    </row>
    <row r="74" spans="1:29" ht="12.75">
      <c r="A74" s="237">
        <v>40557</v>
      </c>
      <c r="B74" s="240" t="s">
        <v>126</v>
      </c>
      <c r="C74" s="238">
        <v>1</v>
      </c>
      <c r="D74" s="238">
        <v>3</v>
      </c>
      <c r="E74" s="238">
        <v>3</v>
      </c>
      <c r="F74" s="238">
        <v>7</v>
      </c>
      <c r="G74" s="240" t="s">
        <v>126</v>
      </c>
      <c r="H74" s="238">
        <v>7</v>
      </c>
      <c r="I74" s="238">
        <v>11</v>
      </c>
      <c r="J74" s="240" t="s">
        <v>126</v>
      </c>
      <c r="K74" s="240" t="s">
        <v>126</v>
      </c>
      <c r="L74" s="238">
        <v>14</v>
      </c>
      <c r="N74" s="240" t="s">
        <v>126</v>
      </c>
      <c r="O74" s="238">
        <v>5</v>
      </c>
      <c r="P74" s="238">
        <v>6.5</v>
      </c>
      <c r="Q74" s="238">
        <v>10</v>
      </c>
      <c r="R74" s="238">
        <v>14</v>
      </c>
      <c r="S74" s="238">
        <v>20</v>
      </c>
      <c r="T74" s="238">
        <v>27</v>
      </c>
      <c r="U74" s="238"/>
      <c r="V74" s="196">
        <v>5.4662</v>
      </c>
      <c r="W74" s="196">
        <v>5.9546</v>
      </c>
      <c r="X74" s="196">
        <v>6.2319</v>
      </c>
      <c r="Y74" s="196">
        <v>6.32</v>
      </c>
      <c r="Z74" s="196" t="s">
        <v>126</v>
      </c>
      <c r="AA74" s="196">
        <v>6.2199</v>
      </c>
      <c r="AB74" s="196">
        <v>5.9474</v>
      </c>
      <c r="AC74" s="196">
        <v>5.6811</v>
      </c>
    </row>
    <row r="75" spans="1:29" ht="12.75">
      <c r="A75" s="237">
        <v>40560</v>
      </c>
      <c r="B75" s="240" t="s">
        <v>126</v>
      </c>
      <c r="C75" s="238">
        <v>1</v>
      </c>
      <c r="D75" s="238">
        <v>3</v>
      </c>
      <c r="E75" s="238">
        <v>3</v>
      </c>
      <c r="F75" s="238">
        <v>5</v>
      </c>
      <c r="G75" s="240" t="s">
        <v>126</v>
      </c>
      <c r="H75" s="238">
        <v>7</v>
      </c>
      <c r="I75" s="238">
        <v>11</v>
      </c>
      <c r="J75" s="240" t="s">
        <v>126</v>
      </c>
      <c r="K75" s="240" t="s">
        <v>126</v>
      </c>
      <c r="L75" s="238">
        <v>14</v>
      </c>
      <c r="N75" s="240" t="s">
        <v>126</v>
      </c>
      <c r="O75" s="238">
        <v>5</v>
      </c>
      <c r="P75" s="238">
        <v>6.5</v>
      </c>
      <c r="Q75" s="238">
        <v>10</v>
      </c>
      <c r="R75" s="238">
        <v>14.5</v>
      </c>
      <c r="S75" s="238">
        <v>20</v>
      </c>
      <c r="T75" s="238">
        <v>26.5</v>
      </c>
      <c r="U75" s="238"/>
      <c r="V75" s="196">
        <v>5.4617</v>
      </c>
      <c r="W75" s="196">
        <v>5.9595</v>
      </c>
      <c r="X75" s="196">
        <v>6.2601</v>
      </c>
      <c r="Y75" s="196">
        <v>6.34</v>
      </c>
      <c r="Z75" s="196" t="s">
        <v>126</v>
      </c>
      <c r="AA75" s="196">
        <v>6.2584</v>
      </c>
      <c r="AB75" s="196">
        <v>5.9547</v>
      </c>
      <c r="AC75" s="196">
        <v>5.6729</v>
      </c>
    </row>
    <row r="76" spans="1:29" ht="12.75">
      <c r="A76" s="237">
        <v>40561</v>
      </c>
      <c r="B76" s="240" t="s">
        <v>126</v>
      </c>
      <c r="C76" s="238">
        <v>2</v>
      </c>
      <c r="D76" s="238">
        <v>3</v>
      </c>
      <c r="E76" s="238">
        <v>3</v>
      </c>
      <c r="F76" s="238">
        <v>4</v>
      </c>
      <c r="G76" s="240" t="s">
        <v>126</v>
      </c>
      <c r="H76" s="238">
        <v>7</v>
      </c>
      <c r="I76" s="238">
        <v>11</v>
      </c>
      <c r="J76" s="240" t="s">
        <v>126</v>
      </c>
      <c r="K76" s="240" t="s">
        <v>126</v>
      </c>
      <c r="L76" s="238">
        <v>14</v>
      </c>
      <c r="N76" s="240" t="s">
        <v>126</v>
      </c>
      <c r="O76" s="238">
        <v>5</v>
      </c>
      <c r="P76" s="238">
        <v>6.5</v>
      </c>
      <c r="Q76" s="238">
        <v>10</v>
      </c>
      <c r="R76" s="238">
        <v>13.5</v>
      </c>
      <c r="S76" s="238">
        <v>20</v>
      </c>
      <c r="T76" s="238">
        <v>26.5</v>
      </c>
      <c r="U76" s="238"/>
      <c r="V76" s="196">
        <v>5.4364</v>
      </c>
      <c r="W76" s="196">
        <v>5.9583</v>
      </c>
      <c r="X76" s="196">
        <v>6.2614</v>
      </c>
      <c r="Y76" s="196">
        <v>6.34</v>
      </c>
      <c r="Z76" s="196" t="s">
        <v>126</v>
      </c>
      <c r="AA76" s="196">
        <v>6.2679</v>
      </c>
      <c r="AB76" s="196">
        <v>5.945</v>
      </c>
      <c r="AC76" s="196">
        <v>5.6524</v>
      </c>
    </row>
    <row r="77" spans="1:29" ht="12.75">
      <c r="A77" s="237">
        <v>40562</v>
      </c>
      <c r="B77" s="240" t="s">
        <v>126</v>
      </c>
      <c r="C77" s="238">
        <v>2</v>
      </c>
      <c r="D77" s="238">
        <v>3</v>
      </c>
      <c r="E77" s="238">
        <v>3</v>
      </c>
      <c r="F77" s="238">
        <v>4</v>
      </c>
      <c r="G77" s="240" t="s">
        <v>126</v>
      </c>
      <c r="H77" s="238">
        <v>7</v>
      </c>
      <c r="I77" s="238">
        <v>11</v>
      </c>
      <c r="J77" s="240" t="s">
        <v>126</v>
      </c>
      <c r="K77" s="240" t="s">
        <v>126</v>
      </c>
      <c r="L77" s="238">
        <v>14</v>
      </c>
      <c r="N77" s="240" t="s">
        <v>126</v>
      </c>
      <c r="O77" s="238">
        <v>5</v>
      </c>
      <c r="P77" s="238">
        <v>7</v>
      </c>
      <c r="Q77" s="238">
        <v>10</v>
      </c>
      <c r="R77" s="238">
        <v>13</v>
      </c>
      <c r="S77" s="238">
        <v>19.5</v>
      </c>
      <c r="T77" s="238">
        <v>26.5</v>
      </c>
      <c r="U77" s="238"/>
      <c r="V77" s="196">
        <v>5.4079</v>
      </c>
      <c r="W77" s="196">
        <v>5.9633</v>
      </c>
      <c r="X77" s="196">
        <v>6.2703</v>
      </c>
      <c r="Y77" s="196">
        <v>6.3372</v>
      </c>
      <c r="Z77" s="196" t="s">
        <v>126</v>
      </c>
      <c r="AA77" s="196">
        <v>6.2692</v>
      </c>
      <c r="AB77" s="196">
        <v>5.962</v>
      </c>
      <c r="AC77" s="196">
        <v>5.6687</v>
      </c>
    </row>
    <row r="78" spans="1:29" ht="12.75">
      <c r="A78" s="237">
        <v>40563</v>
      </c>
      <c r="B78" s="240" t="s">
        <v>126</v>
      </c>
      <c r="C78" s="238">
        <v>2</v>
      </c>
      <c r="D78" s="238">
        <v>3</v>
      </c>
      <c r="E78" s="238">
        <v>3</v>
      </c>
      <c r="F78" s="238">
        <v>4.5</v>
      </c>
      <c r="G78" s="240" t="s">
        <v>126</v>
      </c>
      <c r="H78" s="238">
        <v>7</v>
      </c>
      <c r="I78" s="238">
        <v>11</v>
      </c>
      <c r="J78" s="240" t="s">
        <v>126</v>
      </c>
      <c r="K78" s="240" t="s">
        <v>126</v>
      </c>
      <c r="L78" s="238">
        <v>14</v>
      </c>
      <c r="N78" s="240" t="s">
        <v>126</v>
      </c>
      <c r="O78" s="238">
        <v>5</v>
      </c>
      <c r="P78" s="238">
        <v>6.5</v>
      </c>
      <c r="Q78" s="238">
        <v>10</v>
      </c>
      <c r="R78" s="238">
        <v>13</v>
      </c>
      <c r="S78" s="238">
        <v>19</v>
      </c>
      <c r="T78" s="238">
        <v>26.5</v>
      </c>
      <c r="U78" s="238"/>
      <c r="V78" s="196">
        <v>5.3467</v>
      </c>
      <c r="W78" s="196">
        <v>5.9103</v>
      </c>
      <c r="X78" s="196">
        <v>6.2725</v>
      </c>
      <c r="Y78" s="196">
        <v>6.3525</v>
      </c>
      <c r="Z78" s="196" t="s">
        <v>126</v>
      </c>
      <c r="AA78" s="196">
        <v>6.3075</v>
      </c>
      <c r="AB78" s="196">
        <v>5.9941</v>
      </c>
      <c r="AC78" s="196">
        <v>5.6675</v>
      </c>
    </row>
    <row r="79" spans="1:29" ht="12.75">
      <c r="A79" s="237">
        <v>40564</v>
      </c>
      <c r="B79" s="240" t="s">
        <v>126</v>
      </c>
      <c r="C79" s="238">
        <v>2</v>
      </c>
      <c r="D79" s="238">
        <v>3.5</v>
      </c>
      <c r="E79" s="238">
        <v>3</v>
      </c>
      <c r="F79" s="238">
        <v>4</v>
      </c>
      <c r="G79" s="240" t="s">
        <v>126</v>
      </c>
      <c r="H79" s="238">
        <v>7</v>
      </c>
      <c r="I79" s="238">
        <v>11</v>
      </c>
      <c r="J79" s="240" t="s">
        <v>126</v>
      </c>
      <c r="K79" s="240" t="s">
        <v>126</v>
      </c>
      <c r="L79" s="238">
        <v>14</v>
      </c>
      <c r="N79" s="240" t="s">
        <v>126</v>
      </c>
      <c r="O79" s="238">
        <v>5</v>
      </c>
      <c r="P79" s="238">
        <v>6.5</v>
      </c>
      <c r="Q79" s="238">
        <v>10</v>
      </c>
      <c r="R79" s="238">
        <v>13</v>
      </c>
      <c r="S79" s="238">
        <v>19</v>
      </c>
      <c r="T79" s="238">
        <v>25.5</v>
      </c>
      <c r="U79" s="238"/>
      <c r="V79" s="196">
        <v>5.4026</v>
      </c>
      <c r="W79" s="196">
        <v>5.8962</v>
      </c>
      <c r="X79" s="196">
        <v>6.2993</v>
      </c>
      <c r="Y79" s="196">
        <v>6.4154</v>
      </c>
      <c r="Z79" s="196" t="s">
        <v>126</v>
      </c>
      <c r="AA79" s="196">
        <v>6.3522</v>
      </c>
      <c r="AB79" s="196">
        <v>6.0485</v>
      </c>
      <c r="AC79" s="196">
        <v>5.672</v>
      </c>
    </row>
    <row r="80" spans="1:29" ht="12.75">
      <c r="A80" s="237">
        <v>40567</v>
      </c>
      <c r="B80" s="240" t="s">
        <v>126</v>
      </c>
      <c r="C80" s="238">
        <v>1.5</v>
      </c>
      <c r="D80" s="238">
        <v>3.5</v>
      </c>
      <c r="E80" s="238">
        <v>3.5</v>
      </c>
      <c r="F80" s="238">
        <v>4.5</v>
      </c>
      <c r="G80" s="240" t="s">
        <v>126</v>
      </c>
      <c r="H80" s="238">
        <v>7</v>
      </c>
      <c r="I80" s="238">
        <v>11</v>
      </c>
      <c r="J80" s="240" t="s">
        <v>126</v>
      </c>
      <c r="K80" s="240" t="s">
        <v>126</v>
      </c>
      <c r="L80" s="238">
        <v>14</v>
      </c>
      <c r="N80" s="240" t="s">
        <v>126</v>
      </c>
      <c r="O80" s="238">
        <v>5.5</v>
      </c>
      <c r="P80" s="238">
        <v>6.5</v>
      </c>
      <c r="Q80" s="238">
        <v>10</v>
      </c>
      <c r="R80" s="238">
        <v>13</v>
      </c>
      <c r="S80" s="238">
        <v>19</v>
      </c>
      <c r="T80" s="238">
        <v>25.5</v>
      </c>
      <c r="U80" s="238"/>
      <c r="V80" s="196">
        <v>5.5562</v>
      </c>
      <c r="W80" s="196">
        <v>6.0342</v>
      </c>
      <c r="X80" s="196">
        <v>6.4465</v>
      </c>
      <c r="Y80" s="196">
        <v>6.5654</v>
      </c>
      <c r="Z80" s="196" t="s">
        <v>126</v>
      </c>
      <c r="AA80" s="196">
        <v>6.4837</v>
      </c>
      <c r="AB80" s="196">
        <v>6.1336</v>
      </c>
      <c r="AC80" s="196">
        <v>5.745</v>
      </c>
    </row>
    <row r="81" spans="1:29" ht="12.75">
      <c r="A81" s="237">
        <v>40568</v>
      </c>
      <c r="B81" s="240" t="s">
        <v>126</v>
      </c>
      <c r="C81" s="238">
        <v>1.5</v>
      </c>
      <c r="D81" s="238">
        <v>3.5</v>
      </c>
      <c r="E81" s="238">
        <v>3.5</v>
      </c>
      <c r="F81" s="238">
        <v>4.5</v>
      </c>
      <c r="G81" s="240" t="s">
        <v>126</v>
      </c>
      <c r="H81" s="238">
        <v>7</v>
      </c>
      <c r="I81" s="238">
        <v>11</v>
      </c>
      <c r="J81" s="240" t="s">
        <v>126</v>
      </c>
      <c r="K81" s="240" t="s">
        <v>126</v>
      </c>
      <c r="L81" s="238">
        <v>14</v>
      </c>
      <c r="N81" s="240" t="s">
        <v>126</v>
      </c>
      <c r="O81" s="238">
        <v>5.5</v>
      </c>
      <c r="P81" s="238">
        <v>6.5</v>
      </c>
      <c r="Q81" s="238">
        <v>10</v>
      </c>
      <c r="R81" s="238">
        <v>13</v>
      </c>
      <c r="S81" s="238">
        <v>19</v>
      </c>
      <c r="T81" s="238">
        <v>26.5</v>
      </c>
      <c r="U81" s="238"/>
      <c r="V81" s="196">
        <v>5.5562</v>
      </c>
      <c r="W81" s="196">
        <v>6.0342</v>
      </c>
      <c r="X81" s="196">
        <v>6.4465</v>
      </c>
      <c r="Y81" s="196">
        <v>6.5654</v>
      </c>
      <c r="Z81" s="196" t="s">
        <v>126</v>
      </c>
      <c r="AA81" s="196">
        <v>6.4837</v>
      </c>
      <c r="AB81" s="196">
        <v>6.1336</v>
      </c>
      <c r="AC81" s="196">
        <v>5.745</v>
      </c>
    </row>
    <row r="82" spans="1:29" ht="12.75">
      <c r="A82" s="237">
        <v>40569</v>
      </c>
      <c r="B82" s="240" t="s">
        <v>126</v>
      </c>
      <c r="C82" s="238">
        <v>2</v>
      </c>
      <c r="D82" s="238">
        <v>3.5</v>
      </c>
      <c r="E82" s="238">
        <v>4</v>
      </c>
      <c r="F82" s="238">
        <v>4.5</v>
      </c>
      <c r="G82" s="240" t="s">
        <v>126</v>
      </c>
      <c r="H82" s="238">
        <v>7.5</v>
      </c>
      <c r="I82" s="238">
        <v>11.5</v>
      </c>
      <c r="J82" s="240" t="s">
        <v>126</v>
      </c>
      <c r="K82" s="240" t="s">
        <v>126</v>
      </c>
      <c r="L82" s="238">
        <v>14</v>
      </c>
      <c r="N82" s="240" t="s">
        <v>126</v>
      </c>
      <c r="O82" s="238">
        <v>6</v>
      </c>
      <c r="P82" s="238">
        <v>7</v>
      </c>
      <c r="Q82" s="238">
        <v>10</v>
      </c>
      <c r="R82" s="238">
        <v>13</v>
      </c>
      <c r="S82" s="238">
        <v>19</v>
      </c>
      <c r="T82" s="238">
        <v>26</v>
      </c>
      <c r="U82" s="238"/>
      <c r="V82" s="196">
        <v>5.5436</v>
      </c>
      <c r="W82" s="196">
        <v>6.0374</v>
      </c>
      <c r="X82" s="196">
        <v>6.4582</v>
      </c>
      <c r="Y82" s="196">
        <v>6.5701</v>
      </c>
      <c r="Z82" s="196" t="s">
        <v>126</v>
      </c>
      <c r="AA82" s="196">
        <v>6.4891</v>
      </c>
      <c r="AB82" s="196">
        <v>6.144</v>
      </c>
      <c r="AC82" s="196">
        <v>5.761</v>
      </c>
    </row>
    <row r="83" spans="1:29" ht="12.75">
      <c r="A83" s="237">
        <v>40570</v>
      </c>
      <c r="B83" s="240" t="s">
        <v>126</v>
      </c>
      <c r="C83" s="238">
        <v>2</v>
      </c>
      <c r="D83" s="238">
        <v>3</v>
      </c>
      <c r="E83" s="238">
        <v>4</v>
      </c>
      <c r="F83" s="238">
        <v>4</v>
      </c>
      <c r="G83" s="240" t="s">
        <v>126</v>
      </c>
      <c r="H83" s="238">
        <v>7</v>
      </c>
      <c r="I83" s="238">
        <v>11</v>
      </c>
      <c r="J83" s="240" t="s">
        <v>126</v>
      </c>
      <c r="K83" s="240" t="s">
        <v>126</v>
      </c>
      <c r="L83" s="238">
        <v>13</v>
      </c>
      <c r="N83" s="240" t="s">
        <v>126</v>
      </c>
      <c r="O83" s="238">
        <v>5</v>
      </c>
      <c r="P83" s="238">
        <v>6</v>
      </c>
      <c r="Q83" s="238">
        <v>10</v>
      </c>
      <c r="R83" s="238">
        <v>12.5</v>
      </c>
      <c r="S83" s="238">
        <v>19</v>
      </c>
      <c r="T83" s="238">
        <v>27</v>
      </c>
      <c r="U83" s="238"/>
      <c r="V83" s="196">
        <v>5.5026</v>
      </c>
      <c r="W83" s="196">
        <v>5.9911</v>
      </c>
      <c r="X83" s="196">
        <v>6.436</v>
      </c>
      <c r="Y83" s="196">
        <v>6.5608</v>
      </c>
      <c r="Z83" s="196" t="s">
        <v>126</v>
      </c>
      <c r="AA83" s="196">
        <v>6.4874</v>
      </c>
      <c r="AB83" s="196">
        <v>6.1463</v>
      </c>
      <c r="AC83" s="196">
        <v>5.77</v>
      </c>
    </row>
    <row r="84" spans="1:29" ht="12.75">
      <c r="A84" s="237">
        <v>40571</v>
      </c>
      <c r="B84" s="240" t="s">
        <v>126</v>
      </c>
      <c r="C84" s="238">
        <v>2</v>
      </c>
      <c r="D84" s="238">
        <v>3.5</v>
      </c>
      <c r="E84" s="238">
        <v>4</v>
      </c>
      <c r="F84" s="238">
        <v>4.5</v>
      </c>
      <c r="G84" s="240" t="s">
        <v>126</v>
      </c>
      <c r="H84" s="238">
        <v>7.5</v>
      </c>
      <c r="I84" s="238">
        <v>11.5</v>
      </c>
      <c r="J84" s="240" t="s">
        <v>126</v>
      </c>
      <c r="K84" s="240" t="s">
        <v>126</v>
      </c>
      <c r="L84" s="238">
        <v>13.5</v>
      </c>
      <c r="N84" s="240" t="s">
        <v>126</v>
      </c>
      <c r="O84" s="238">
        <v>5.5</v>
      </c>
      <c r="P84" s="238">
        <v>6.5</v>
      </c>
      <c r="Q84" s="238">
        <v>10</v>
      </c>
      <c r="R84" s="238">
        <v>12.5</v>
      </c>
      <c r="S84" s="238">
        <v>20</v>
      </c>
      <c r="T84" s="238">
        <v>27</v>
      </c>
      <c r="U84" s="238"/>
      <c r="V84" s="196">
        <v>5.457</v>
      </c>
      <c r="W84" s="196">
        <v>5.9514</v>
      </c>
      <c r="X84" s="196">
        <v>6.3969</v>
      </c>
      <c r="Y84" s="196">
        <v>6.529</v>
      </c>
      <c r="Z84" s="196" t="s">
        <v>126</v>
      </c>
      <c r="AA84" s="196">
        <v>6.4395</v>
      </c>
      <c r="AB84" s="196">
        <v>6.162</v>
      </c>
      <c r="AC84" s="196">
        <v>5.7801</v>
      </c>
    </row>
    <row r="85" spans="1:29" ht="12.75">
      <c r="A85" s="237">
        <v>40574</v>
      </c>
      <c r="B85" s="240" t="s">
        <v>126</v>
      </c>
      <c r="C85" s="238">
        <v>2</v>
      </c>
      <c r="D85" s="238">
        <v>3.5</v>
      </c>
      <c r="E85" s="238">
        <v>4</v>
      </c>
      <c r="F85" s="238">
        <v>4</v>
      </c>
      <c r="G85" s="238">
        <v>4.5</v>
      </c>
      <c r="H85" s="238">
        <v>7.5</v>
      </c>
      <c r="I85" s="238">
        <v>8</v>
      </c>
      <c r="J85" s="238">
        <v>11.5</v>
      </c>
      <c r="K85" s="240" t="s">
        <v>126</v>
      </c>
      <c r="L85" s="238">
        <v>14</v>
      </c>
      <c r="N85" s="240" t="s">
        <v>126</v>
      </c>
      <c r="O85" s="238">
        <v>5.5</v>
      </c>
      <c r="P85" s="238">
        <v>7</v>
      </c>
      <c r="Q85" s="238">
        <v>10</v>
      </c>
      <c r="R85" s="238">
        <v>13</v>
      </c>
      <c r="S85" s="238">
        <v>20</v>
      </c>
      <c r="T85" s="238">
        <v>27</v>
      </c>
      <c r="U85" s="238"/>
      <c r="V85" s="196">
        <v>5.4315</v>
      </c>
      <c r="W85" s="196">
        <v>5.9445</v>
      </c>
      <c r="X85" s="196">
        <v>6.4075</v>
      </c>
      <c r="Y85" s="196">
        <v>6.5349</v>
      </c>
      <c r="Z85" s="196" t="s">
        <v>126</v>
      </c>
      <c r="AA85" s="196">
        <v>6.4479</v>
      </c>
      <c r="AB85" s="196">
        <v>6.1979</v>
      </c>
      <c r="AC85" s="196">
        <v>5.7799</v>
      </c>
    </row>
    <row r="86" spans="1:31" ht="12.75">
      <c r="A86" s="237">
        <v>40575</v>
      </c>
      <c r="B86" s="240" t="s">
        <v>126</v>
      </c>
      <c r="C86" s="238">
        <v>2</v>
      </c>
      <c r="D86" s="238">
        <v>4</v>
      </c>
      <c r="E86" s="238">
        <v>4</v>
      </c>
      <c r="F86" s="238">
        <v>4</v>
      </c>
      <c r="G86" s="238">
        <v>4.5</v>
      </c>
      <c r="H86" s="238">
        <v>8.5</v>
      </c>
      <c r="I86" s="238">
        <v>8</v>
      </c>
      <c r="J86" s="238">
        <v>11.5</v>
      </c>
      <c r="K86" s="240" t="s">
        <v>126</v>
      </c>
      <c r="L86" s="238">
        <v>14</v>
      </c>
      <c r="N86" s="240" t="s">
        <v>126</v>
      </c>
      <c r="O86" s="238">
        <v>5.5</v>
      </c>
      <c r="P86" s="238">
        <v>7</v>
      </c>
      <c r="Q86" s="238">
        <v>10</v>
      </c>
      <c r="R86" s="238">
        <v>13.5</v>
      </c>
      <c r="S86" s="238">
        <v>20</v>
      </c>
      <c r="T86" s="238">
        <v>26</v>
      </c>
      <c r="U86" s="238"/>
      <c r="V86" s="196">
        <v>5.4258</v>
      </c>
      <c r="W86" s="196">
        <v>5.9375</v>
      </c>
      <c r="X86" s="196">
        <v>6.3854</v>
      </c>
      <c r="Y86" s="196">
        <v>6.4841</v>
      </c>
      <c r="Z86" s="196" t="s">
        <v>126</v>
      </c>
      <c r="AA86" s="196">
        <v>6.4006</v>
      </c>
      <c r="AB86" s="196">
        <v>6.1786</v>
      </c>
      <c r="AC86" s="196">
        <v>5.7522</v>
      </c>
      <c r="AE86" s="239"/>
    </row>
    <row r="87" spans="1:29" ht="12.75">
      <c r="A87" s="237">
        <v>40576</v>
      </c>
      <c r="B87" s="240" t="s">
        <v>126</v>
      </c>
      <c r="C87" s="238">
        <v>2</v>
      </c>
      <c r="D87" s="238">
        <v>4.5</v>
      </c>
      <c r="E87" s="238">
        <v>4.5</v>
      </c>
      <c r="F87" s="238">
        <v>4</v>
      </c>
      <c r="G87" s="238">
        <v>5</v>
      </c>
      <c r="H87" s="238">
        <v>8.5</v>
      </c>
      <c r="I87" s="238">
        <v>8.5</v>
      </c>
      <c r="J87" s="238">
        <v>11.5</v>
      </c>
      <c r="K87" s="240" t="s">
        <v>126</v>
      </c>
      <c r="L87" s="238">
        <v>14.5</v>
      </c>
      <c r="N87" s="240" t="s">
        <v>126</v>
      </c>
      <c r="O87" s="238">
        <v>5.5</v>
      </c>
      <c r="P87" s="238">
        <v>7.5</v>
      </c>
      <c r="Q87" s="238">
        <v>10</v>
      </c>
      <c r="R87" s="238">
        <v>13</v>
      </c>
      <c r="S87" s="238">
        <v>20</v>
      </c>
      <c r="T87" s="238">
        <v>26.5</v>
      </c>
      <c r="U87" s="238"/>
      <c r="V87" s="196">
        <v>5.4488</v>
      </c>
      <c r="W87" s="196">
        <v>5.9295</v>
      </c>
      <c r="X87" s="196">
        <v>6.3554</v>
      </c>
      <c r="Y87" s="196">
        <v>6.4521</v>
      </c>
      <c r="Z87" s="196" t="s">
        <v>126</v>
      </c>
      <c r="AA87" s="196">
        <v>6.3515</v>
      </c>
      <c r="AB87" s="196">
        <v>6.1549</v>
      </c>
      <c r="AC87" s="196">
        <v>5.7388</v>
      </c>
    </row>
    <row r="88" spans="1:29" ht="12.75">
      <c r="A88" s="237">
        <v>40577</v>
      </c>
      <c r="B88" s="240" t="s">
        <v>126</v>
      </c>
      <c r="C88" s="238">
        <v>2</v>
      </c>
      <c r="D88" s="238">
        <v>4.5</v>
      </c>
      <c r="E88" s="238">
        <v>4.5</v>
      </c>
      <c r="F88" s="238">
        <v>4</v>
      </c>
      <c r="G88" s="238">
        <v>5</v>
      </c>
      <c r="H88" s="238">
        <v>8.5</v>
      </c>
      <c r="I88" s="238">
        <v>8.5</v>
      </c>
      <c r="J88" s="238">
        <v>12</v>
      </c>
      <c r="K88" s="240" t="s">
        <v>126</v>
      </c>
      <c r="L88" s="238">
        <v>14.5</v>
      </c>
      <c r="N88" s="240" t="s">
        <v>126</v>
      </c>
      <c r="O88" s="238">
        <v>5.5</v>
      </c>
      <c r="P88" s="238">
        <v>7.5</v>
      </c>
      <c r="Q88" s="238">
        <v>10</v>
      </c>
      <c r="R88" s="238">
        <v>13</v>
      </c>
      <c r="S88" s="238">
        <v>19</v>
      </c>
      <c r="T88" s="238">
        <v>24</v>
      </c>
      <c r="U88" s="238"/>
      <c r="V88" s="196">
        <v>5.4756</v>
      </c>
      <c r="W88" s="196">
        <v>5.942</v>
      </c>
      <c r="X88" s="196">
        <v>6.3795</v>
      </c>
      <c r="Y88" s="196">
        <v>6.5246</v>
      </c>
      <c r="Z88" s="196" t="s">
        <v>126</v>
      </c>
      <c r="AA88" s="196">
        <v>6.3959</v>
      </c>
      <c r="AB88" s="196">
        <v>6.2002</v>
      </c>
      <c r="AC88" s="196">
        <v>5.7683</v>
      </c>
    </row>
    <row r="89" spans="1:30" ht="12.75">
      <c r="A89" s="237">
        <v>40578</v>
      </c>
      <c r="B89" s="240" t="s">
        <v>126</v>
      </c>
      <c r="C89" s="238">
        <v>2</v>
      </c>
      <c r="D89" s="238">
        <v>4.5</v>
      </c>
      <c r="E89" s="238">
        <v>4.5</v>
      </c>
      <c r="F89" s="238">
        <v>4</v>
      </c>
      <c r="G89" s="238">
        <v>5</v>
      </c>
      <c r="H89" s="238">
        <v>9</v>
      </c>
      <c r="I89" s="238">
        <v>9</v>
      </c>
      <c r="J89" s="238">
        <v>11.5</v>
      </c>
      <c r="K89" s="240" t="s">
        <v>126</v>
      </c>
      <c r="L89" s="238">
        <v>14.5</v>
      </c>
      <c r="N89" s="240" t="s">
        <v>126</v>
      </c>
      <c r="O89" s="238">
        <v>6.5</v>
      </c>
      <c r="P89" s="238">
        <v>7.5</v>
      </c>
      <c r="Q89" s="238">
        <v>10</v>
      </c>
      <c r="R89" s="238">
        <v>13</v>
      </c>
      <c r="S89" s="238">
        <v>19</v>
      </c>
      <c r="T89" s="238">
        <v>24.5</v>
      </c>
      <c r="U89" s="238"/>
      <c r="V89" s="196">
        <v>5.5499</v>
      </c>
      <c r="W89" s="196">
        <v>6.0014</v>
      </c>
      <c r="X89" s="196">
        <v>6.4692</v>
      </c>
      <c r="Y89" s="196">
        <v>6.6112</v>
      </c>
      <c r="Z89" s="196" t="s">
        <v>126</v>
      </c>
      <c r="AA89" s="196">
        <v>6.4724</v>
      </c>
      <c r="AB89" s="196">
        <v>6.2898</v>
      </c>
      <c r="AC89" s="196">
        <v>5.7963</v>
      </c>
      <c r="AD89" s="241"/>
    </row>
    <row r="90" spans="1:30" ht="12.75">
      <c r="A90" s="237">
        <v>40581</v>
      </c>
      <c r="B90" s="240" t="s">
        <v>126</v>
      </c>
      <c r="C90" s="238">
        <v>3</v>
      </c>
      <c r="D90" s="238">
        <v>4.5</v>
      </c>
      <c r="E90" s="238">
        <v>4.5</v>
      </c>
      <c r="F90" s="238">
        <v>4.5</v>
      </c>
      <c r="G90" s="238">
        <v>5</v>
      </c>
      <c r="H90" s="238">
        <v>9</v>
      </c>
      <c r="I90" s="238">
        <v>9</v>
      </c>
      <c r="J90" s="238">
        <v>12</v>
      </c>
      <c r="K90" s="240" t="s">
        <v>126</v>
      </c>
      <c r="L90" s="238">
        <v>14</v>
      </c>
      <c r="N90" s="240" t="s">
        <v>126</v>
      </c>
      <c r="O90" s="238">
        <v>6.5</v>
      </c>
      <c r="P90" s="238">
        <v>8</v>
      </c>
      <c r="Q90" s="238">
        <v>10</v>
      </c>
      <c r="R90" s="238">
        <v>13</v>
      </c>
      <c r="S90" s="238">
        <v>18.5</v>
      </c>
      <c r="T90" s="238">
        <v>24</v>
      </c>
      <c r="U90" s="238"/>
      <c r="V90" s="196">
        <v>5.5506</v>
      </c>
      <c r="W90" s="196">
        <v>6.04</v>
      </c>
      <c r="X90" s="196">
        <v>6.4799</v>
      </c>
      <c r="Y90" s="196">
        <v>6.6358</v>
      </c>
      <c r="Z90" s="196" t="s">
        <v>126</v>
      </c>
      <c r="AA90" s="196">
        <v>6.5093</v>
      </c>
      <c r="AB90" s="196">
        <v>6.2992</v>
      </c>
      <c r="AC90" s="196">
        <v>5.8095</v>
      </c>
      <c r="AD90" s="241"/>
    </row>
    <row r="91" spans="1:30" ht="12.75">
      <c r="A91" s="237">
        <v>40582</v>
      </c>
      <c r="B91" s="240" t="s">
        <v>126</v>
      </c>
      <c r="C91" s="238">
        <v>3</v>
      </c>
      <c r="D91" s="238">
        <v>4.5</v>
      </c>
      <c r="E91" s="238">
        <v>4.5</v>
      </c>
      <c r="F91" s="238">
        <v>4.5</v>
      </c>
      <c r="G91" s="238">
        <v>5</v>
      </c>
      <c r="H91" s="238">
        <v>9</v>
      </c>
      <c r="I91" s="238">
        <v>9</v>
      </c>
      <c r="J91" s="238">
        <v>12</v>
      </c>
      <c r="K91" s="240" t="s">
        <v>126</v>
      </c>
      <c r="L91" s="238">
        <v>14.5</v>
      </c>
      <c r="N91" s="240" t="s">
        <v>126</v>
      </c>
      <c r="O91" s="238">
        <v>6.5</v>
      </c>
      <c r="P91" s="238">
        <v>8</v>
      </c>
      <c r="Q91" s="238">
        <v>10</v>
      </c>
      <c r="R91" s="238">
        <v>13</v>
      </c>
      <c r="S91" s="238">
        <v>18.5</v>
      </c>
      <c r="T91" s="238">
        <v>24</v>
      </c>
      <c r="U91" s="238"/>
      <c r="V91" s="196">
        <v>5.5221</v>
      </c>
      <c r="W91" s="196">
        <v>5.9798</v>
      </c>
      <c r="X91" s="196">
        <v>6.3726</v>
      </c>
      <c r="Y91" s="196">
        <v>6.5125</v>
      </c>
      <c r="Z91" s="196" t="s">
        <v>126</v>
      </c>
      <c r="AA91" s="196">
        <v>6.4119</v>
      </c>
      <c r="AB91" s="196">
        <v>6.1819</v>
      </c>
      <c r="AC91" s="196">
        <v>5.7572</v>
      </c>
      <c r="AD91" s="241"/>
    </row>
    <row r="92" spans="1:30" ht="12.75">
      <c r="A92" s="237">
        <v>40583</v>
      </c>
      <c r="B92" s="240" t="s">
        <v>126</v>
      </c>
      <c r="C92" s="238">
        <v>3</v>
      </c>
      <c r="D92" s="238">
        <v>4.5</v>
      </c>
      <c r="E92" s="238">
        <v>4.5</v>
      </c>
      <c r="F92" s="238">
        <v>4.5</v>
      </c>
      <c r="G92" s="238">
        <v>6</v>
      </c>
      <c r="H92" s="238">
        <v>9</v>
      </c>
      <c r="I92" s="238">
        <v>9.5</v>
      </c>
      <c r="J92" s="238">
        <v>12</v>
      </c>
      <c r="K92" s="240" t="s">
        <v>126</v>
      </c>
      <c r="L92" s="238">
        <v>14</v>
      </c>
      <c r="N92" s="240" t="s">
        <v>126</v>
      </c>
      <c r="O92" s="238">
        <v>6</v>
      </c>
      <c r="P92" s="238">
        <v>8</v>
      </c>
      <c r="Q92" s="238">
        <v>9.5</v>
      </c>
      <c r="R92" s="238">
        <v>13</v>
      </c>
      <c r="S92" s="238">
        <v>16.5</v>
      </c>
      <c r="T92" s="238">
        <v>21</v>
      </c>
      <c r="U92" s="238"/>
      <c r="V92" s="196">
        <v>5.49</v>
      </c>
      <c r="W92" s="196">
        <v>5.9844</v>
      </c>
      <c r="X92" s="196">
        <v>6.3968</v>
      </c>
      <c r="Y92" s="196">
        <v>6.4978</v>
      </c>
      <c r="Z92" s="196" t="s">
        <v>126</v>
      </c>
      <c r="AA92" s="196">
        <v>6.4084</v>
      </c>
      <c r="AB92" s="196">
        <v>6.1697</v>
      </c>
      <c r="AC92" s="196">
        <v>5.7543</v>
      </c>
      <c r="AD92" s="241"/>
    </row>
    <row r="93" spans="1:30" ht="12.75">
      <c r="A93" s="237">
        <v>40584</v>
      </c>
      <c r="B93" s="240" t="s">
        <v>126</v>
      </c>
      <c r="C93" s="238">
        <v>3</v>
      </c>
      <c r="D93" s="238">
        <v>4.5</v>
      </c>
      <c r="E93" s="238">
        <v>4.5</v>
      </c>
      <c r="F93" s="238">
        <v>4.5</v>
      </c>
      <c r="G93" s="238">
        <v>5.5</v>
      </c>
      <c r="H93" s="238">
        <v>9</v>
      </c>
      <c r="I93" s="238">
        <v>9.5</v>
      </c>
      <c r="J93" s="238">
        <v>12.5</v>
      </c>
      <c r="K93" s="240" t="s">
        <v>126</v>
      </c>
      <c r="L93" s="238">
        <v>14</v>
      </c>
      <c r="N93" s="240" t="s">
        <v>126</v>
      </c>
      <c r="O93" s="238">
        <v>6.5</v>
      </c>
      <c r="P93" s="238">
        <v>8</v>
      </c>
      <c r="Q93" s="238">
        <v>9.5</v>
      </c>
      <c r="R93" s="238">
        <v>13</v>
      </c>
      <c r="S93" s="238">
        <v>17</v>
      </c>
      <c r="T93" s="238">
        <v>22</v>
      </c>
      <c r="U93" s="238"/>
      <c r="V93" s="196">
        <v>5.4903</v>
      </c>
      <c r="W93" s="196">
        <v>5.9979</v>
      </c>
      <c r="X93" s="196">
        <v>6.4512</v>
      </c>
      <c r="Y93" s="196">
        <v>6.5359</v>
      </c>
      <c r="Z93" s="196" t="s">
        <v>126</v>
      </c>
      <c r="AA93" s="196">
        <v>6.4506</v>
      </c>
      <c r="AB93" s="196">
        <v>6.2047</v>
      </c>
      <c r="AC93" s="196">
        <v>5.7715</v>
      </c>
      <c r="AD93" s="241"/>
    </row>
    <row r="94" spans="1:30" ht="12.75">
      <c r="A94" s="237">
        <v>40585</v>
      </c>
      <c r="B94" s="240" t="s">
        <v>126</v>
      </c>
      <c r="C94" s="238">
        <v>3</v>
      </c>
      <c r="D94" s="238">
        <v>4.5</v>
      </c>
      <c r="E94" s="238">
        <v>5</v>
      </c>
      <c r="F94" s="238">
        <v>4.5</v>
      </c>
      <c r="G94" s="238">
        <v>5.5</v>
      </c>
      <c r="H94" s="238">
        <v>9.2</v>
      </c>
      <c r="I94" s="238">
        <v>9.5</v>
      </c>
      <c r="J94" s="238">
        <v>12.5</v>
      </c>
      <c r="K94" s="240" t="s">
        <v>126</v>
      </c>
      <c r="L94" s="238">
        <v>14.5</v>
      </c>
      <c r="N94" s="240" t="s">
        <v>126</v>
      </c>
      <c r="O94" s="238">
        <v>6.8</v>
      </c>
      <c r="P94" s="238">
        <v>8</v>
      </c>
      <c r="Q94" s="238">
        <v>9.5</v>
      </c>
      <c r="R94" s="238">
        <v>12.8</v>
      </c>
      <c r="S94" s="238">
        <v>17.2</v>
      </c>
      <c r="T94" s="238">
        <v>22</v>
      </c>
      <c r="U94" s="238"/>
      <c r="V94" s="196">
        <v>5.48</v>
      </c>
      <c r="W94" s="196">
        <v>6.003</v>
      </c>
      <c r="X94" s="196">
        <v>6.49</v>
      </c>
      <c r="Y94" s="196">
        <v>6.5778</v>
      </c>
      <c r="Z94" s="196" t="s">
        <v>126</v>
      </c>
      <c r="AA94" s="196">
        <v>6.5191</v>
      </c>
      <c r="AB94" s="196">
        <v>6.2053</v>
      </c>
      <c r="AC94" s="196">
        <v>5.7841</v>
      </c>
      <c r="AD94" s="241"/>
    </row>
    <row r="95" spans="1:30" ht="12.75">
      <c r="A95" s="237">
        <v>40588</v>
      </c>
      <c r="B95" s="240" t="s">
        <v>126</v>
      </c>
      <c r="C95" s="238">
        <v>3</v>
      </c>
      <c r="D95" s="238">
        <v>4.5</v>
      </c>
      <c r="E95" s="238">
        <v>4.5</v>
      </c>
      <c r="F95" s="238">
        <v>5</v>
      </c>
      <c r="G95" s="238">
        <v>6</v>
      </c>
      <c r="H95" s="238">
        <v>9</v>
      </c>
      <c r="I95" s="238">
        <v>9.5</v>
      </c>
      <c r="J95" s="238">
        <v>12.5</v>
      </c>
      <c r="K95" s="240" t="s">
        <v>126</v>
      </c>
      <c r="L95" s="238">
        <v>14.5</v>
      </c>
      <c r="N95" s="240" t="s">
        <v>126</v>
      </c>
      <c r="O95" s="238">
        <v>6.5</v>
      </c>
      <c r="P95" s="238">
        <v>8</v>
      </c>
      <c r="Q95" s="238">
        <v>9.5</v>
      </c>
      <c r="R95" s="238">
        <v>12.5</v>
      </c>
      <c r="S95" s="238">
        <v>17.5</v>
      </c>
      <c r="T95" s="238">
        <v>22</v>
      </c>
      <c r="U95" s="238"/>
      <c r="V95" s="196">
        <v>5.5559</v>
      </c>
      <c r="W95" s="196">
        <v>6.0749</v>
      </c>
      <c r="X95" s="196">
        <v>6.5655</v>
      </c>
      <c r="Y95" s="196">
        <v>6.6741</v>
      </c>
      <c r="Z95" s="196" t="s">
        <v>126</v>
      </c>
      <c r="AA95" s="196">
        <v>6.6105</v>
      </c>
      <c r="AB95" s="196">
        <v>6.263</v>
      </c>
      <c r="AC95" s="196">
        <v>5.8008</v>
      </c>
      <c r="AD95" s="241"/>
    </row>
    <row r="96" spans="1:30" ht="12.75">
      <c r="A96" s="237">
        <v>40589</v>
      </c>
      <c r="B96" s="240" t="s">
        <v>126</v>
      </c>
      <c r="C96" s="238">
        <v>3</v>
      </c>
      <c r="D96" s="238">
        <v>4.5</v>
      </c>
      <c r="E96" s="238">
        <v>4.5</v>
      </c>
      <c r="F96" s="238">
        <v>5</v>
      </c>
      <c r="G96" s="238">
        <v>6</v>
      </c>
      <c r="H96" s="238">
        <v>9</v>
      </c>
      <c r="I96" s="238">
        <v>9.5</v>
      </c>
      <c r="J96" s="238">
        <v>12.5</v>
      </c>
      <c r="K96" s="240" t="s">
        <v>126</v>
      </c>
      <c r="L96" s="238">
        <v>14.5</v>
      </c>
      <c r="N96" s="240" t="s">
        <v>126</v>
      </c>
      <c r="O96" s="238">
        <v>6.5</v>
      </c>
      <c r="P96" s="238">
        <v>8</v>
      </c>
      <c r="Q96" s="238">
        <v>9.5</v>
      </c>
      <c r="R96" s="238">
        <v>12.5</v>
      </c>
      <c r="S96" s="238">
        <v>17.5</v>
      </c>
      <c r="T96" s="238">
        <v>22</v>
      </c>
      <c r="U96" s="238"/>
      <c r="V96" s="196">
        <v>5.6469</v>
      </c>
      <c r="W96" s="196">
        <v>6.1383</v>
      </c>
      <c r="X96" s="196">
        <v>6.1383</v>
      </c>
      <c r="Y96" s="196">
        <v>6.6147</v>
      </c>
      <c r="Z96" s="196">
        <v>6.7099</v>
      </c>
      <c r="AA96" s="196">
        <v>6.6258</v>
      </c>
      <c r="AB96" s="196">
        <v>6.2768</v>
      </c>
      <c r="AC96" s="196">
        <v>5.8531</v>
      </c>
      <c r="AD96" s="241"/>
    </row>
    <row r="97" spans="1:30" ht="12.75">
      <c r="A97" s="237">
        <v>40590</v>
      </c>
      <c r="B97" s="240" t="s">
        <v>126</v>
      </c>
      <c r="C97" s="238">
        <v>3</v>
      </c>
      <c r="D97" s="238">
        <v>4.5</v>
      </c>
      <c r="E97" s="238">
        <v>4.5</v>
      </c>
      <c r="F97" s="238">
        <v>5</v>
      </c>
      <c r="G97" s="238">
        <v>5.5</v>
      </c>
      <c r="H97" s="238">
        <v>9</v>
      </c>
      <c r="I97" s="238">
        <v>10</v>
      </c>
      <c r="J97" s="238">
        <v>12.5</v>
      </c>
      <c r="K97" s="240" t="s">
        <v>126</v>
      </c>
      <c r="L97" s="238">
        <v>15</v>
      </c>
      <c r="N97" s="240" t="s">
        <v>126</v>
      </c>
      <c r="O97" s="238">
        <v>6.5</v>
      </c>
      <c r="P97" s="238">
        <v>8</v>
      </c>
      <c r="Q97" s="238">
        <v>9.5</v>
      </c>
      <c r="R97" s="238">
        <v>12</v>
      </c>
      <c r="S97" s="238">
        <v>18</v>
      </c>
      <c r="T97" s="238">
        <v>22.5</v>
      </c>
      <c r="U97" s="238"/>
      <c r="V97" s="196">
        <v>5.8474</v>
      </c>
      <c r="W97" s="196">
        <v>6.2035</v>
      </c>
      <c r="X97" s="196">
        <v>6.2035</v>
      </c>
      <c r="Y97" s="196">
        <v>6.5929</v>
      </c>
      <c r="Z97" s="196">
        <v>6.6489</v>
      </c>
      <c r="AA97" s="196">
        <v>6.5799</v>
      </c>
      <c r="AB97" s="196">
        <v>6.2508</v>
      </c>
      <c r="AC97" s="196">
        <v>5.8237</v>
      </c>
      <c r="AD97" s="241"/>
    </row>
    <row r="98" spans="1:30" ht="12.75">
      <c r="A98" s="237">
        <v>40591</v>
      </c>
      <c r="B98" s="240" t="s">
        <v>126</v>
      </c>
      <c r="C98" s="238">
        <v>4</v>
      </c>
      <c r="D98" s="238">
        <v>4.5</v>
      </c>
      <c r="E98" s="238">
        <v>4.5</v>
      </c>
      <c r="F98" s="238">
        <v>5</v>
      </c>
      <c r="G98" s="238">
        <v>5.5</v>
      </c>
      <c r="H98" s="238">
        <v>9</v>
      </c>
      <c r="I98" s="238">
        <v>10</v>
      </c>
      <c r="J98" s="238">
        <v>13</v>
      </c>
      <c r="K98" s="240" t="s">
        <v>126</v>
      </c>
      <c r="L98" s="238">
        <v>15.5</v>
      </c>
      <c r="N98" s="240" t="s">
        <v>126</v>
      </c>
      <c r="O98" s="238">
        <v>6.5</v>
      </c>
      <c r="P98" s="238">
        <v>8</v>
      </c>
      <c r="Q98" s="238">
        <v>9.5</v>
      </c>
      <c r="R98" s="238">
        <v>12</v>
      </c>
      <c r="S98" s="238">
        <v>18</v>
      </c>
      <c r="T98" s="238">
        <v>22.5</v>
      </c>
      <c r="U98" s="238"/>
      <c r="V98" s="196">
        <v>5.8962</v>
      </c>
      <c r="W98" s="196">
        <v>6.2447</v>
      </c>
      <c r="X98" s="196">
        <v>6.2447</v>
      </c>
      <c r="Y98" s="196">
        <v>6.5773</v>
      </c>
      <c r="Z98" s="196">
        <v>6.6211</v>
      </c>
      <c r="AA98" s="196">
        <v>6.5642</v>
      </c>
      <c r="AB98" s="196">
        <v>6.181</v>
      </c>
      <c r="AC98" s="196">
        <v>5.8193</v>
      </c>
      <c r="AD98" s="241"/>
    </row>
    <row r="99" spans="1:30" ht="12.75">
      <c r="A99" s="237">
        <v>40592</v>
      </c>
      <c r="B99" s="240" t="s">
        <v>126</v>
      </c>
      <c r="C99" s="238">
        <v>4</v>
      </c>
      <c r="D99" s="238">
        <v>4.5</v>
      </c>
      <c r="E99" s="238">
        <v>4.5</v>
      </c>
      <c r="F99" s="238">
        <v>5</v>
      </c>
      <c r="G99" s="238">
        <v>6</v>
      </c>
      <c r="H99" s="238">
        <v>9</v>
      </c>
      <c r="I99" s="238">
        <v>10</v>
      </c>
      <c r="J99" s="238">
        <v>13</v>
      </c>
      <c r="K99" s="240" t="s">
        <v>126</v>
      </c>
      <c r="L99" s="238">
        <v>15</v>
      </c>
      <c r="N99" s="240" t="s">
        <v>126</v>
      </c>
      <c r="O99" s="238">
        <v>6.5</v>
      </c>
      <c r="P99" s="238">
        <v>8</v>
      </c>
      <c r="Q99" s="238">
        <v>9.5</v>
      </c>
      <c r="R99" s="238">
        <v>12</v>
      </c>
      <c r="S99" s="238">
        <v>18</v>
      </c>
      <c r="T99" s="238">
        <v>22.5</v>
      </c>
      <c r="U99" s="238"/>
      <c r="V99" s="196">
        <v>5.9439</v>
      </c>
      <c r="W99" s="196">
        <v>6.2351</v>
      </c>
      <c r="X99" s="196">
        <v>6.2351</v>
      </c>
      <c r="Y99" s="196">
        <v>6.5321</v>
      </c>
      <c r="Z99" s="196">
        <v>6.6321</v>
      </c>
      <c r="AA99" s="196">
        <v>6.5641</v>
      </c>
      <c r="AB99" s="196">
        <v>6.212</v>
      </c>
      <c r="AC99" s="196">
        <v>5.8201</v>
      </c>
      <c r="AD99" s="241"/>
    </row>
    <row r="100" spans="1:30" ht="12.75">
      <c r="A100" s="237">
        <v>40595</v>
      </c>
      <c r="B100" s="240" t="s">
        <v>126</v>
      </c>
      <c r="C100" s="238">
        <v>4</v>
      </c>
      <c r="D100" s="238">
        <v>4.5</v>
      </c>
      <c r="E100" s="238">
        <v>4.5</v>
      </c>
      <c r="F100" s="238">
        <v>5</v>
      </c>
      <c r="G100" s="238">
        <v>5.5</v>
      </c>
      <c r="H100" s="238">
        <v>9</v>
      </c>
      <c r="I100" s="238">
        <v>10</v>
      </c>
      <c r="J100" s="238">
        <v>13.5</v>
      </c>
      <c r="K100" s="240" t="s">
        <v>126</v>
      </c>
      <c r="L100" s="238">
        <v>15.5</v>
      </c>
      <c r="N100" s="240" t="s">
        <v>126</v>
      </c>
      <c r="O100" s="238">
        <v>6.5</v>
      </c>
      <c r="P100" s="238">
        <v>8.5</v>
      </c>
      <c r="Q100" s="238">
        <v>9.5</v>
      </c>
      <c r="R100" s="238">
        <v>12</v>
      </c>
      <c r="S100" s="238">
        <v>18</v>
      </c>
      <c r="T100" s="238">
        <v>22.5</v>
      </c>
      <c r="U100" s="238"/>
      <c r="V100" s="196">
        <v>5.9718</v>
      </c>
      <c r="W100" s="196">
        <v>6.2386</v>
      </c>
      <c r="X100" s="196">
        <v>6.2386</v>
      </c>
      <c r="Y100" s="196">
        <v>6.5376</v>
      </c>
      <c r="Z100" s="196">
        <v>6.6605</v>
      </c>
      <c r="AA100" s="196">
        <v>6.5736</v>
      </c>
      <c r="AB100" s="196">
        <v>6.284</v>
      </c>
      <c r="AC100" s="196">
        <v>5.819</v>
      </c>
      <c r="AD100" s="241"/>
    </row>
    <row r="101" spans="1:30" ht="12.75">
      <c r="A101" s="237">
        <v>40596</v>
      </c>
      <c r="B101" s="240" t="s">
        <v>126</v>
      </c>
      <c r="C101" s="238">
        <v>4</v>
      </c>
      <c r="D101" s="238">
        <v>4.5</v>
      </c>
      <c r="E101" s="238">
        <v>5</v>
      </c>
      <c r="F101" s="238">
        <v>5</v>
      </c>
      <c r="G101" s="238">
        <v>6</v>
      </c>
      <c r="H101" s="238">
        <v>8.5</v>
      </c>
      <c r="I101" s="238">
        <v>10</v>
      </c>
      <c r="J101" s="238">
        <v>13.5</v>
      </c>
      <c r="K101" s="240" t="s">
        <v>126</v>
      </c>
      <c r="L101" s="238">
        <v>15.5</v>
      </c>
      <c r="N101" s="240" t="s">
        <v>126</v>
      </c>
      <c r="O101" s="238">
        <v>6.5</v>
      </c>
      <c r="P101" s="238">
        <v>8.5</v>
      </c>
      <c r="Q101" s="238">
        <v>9.5</v>
      </c>
      <c r="R101" s="238">
        <v>12</v>
      </c>
      <c r="S101" s="238">
        <v>18</v>
      </c>
      <c r="T101" s="238">
        <v>22.5</v>
      </c>
      <c r="U101" s="238"/>
      <c r="V101" s="196">
        <v>5.9979</v>
      </c>
      <c r="W101" s="196">
        <v>6.2484</v>
      </c>
      <c r="X101" s="196">
        <v>6.2484</v>
      </c>
      <c r="Y101" s="196">
        <v>6.5551</v>
      </c>
      <c r="Z101" s="196">
        <v>6.6802</v>
      </c>
      <c r="AA101" s="196">
        <v>6.5684</v>
      </c>
      <c r="AB101" s="196">
        <v>6.2787</v>
      </c>
      <c r="AC101" s="196">
        <v>5.8092</v>
      </c>
      <c r="AD101" s="241"/>
    </row>
    <row r="102" spans="1:30" ht="12.75">
      <c r="A102" s="237">
        <v>40597</v>
      </c>
      <c r="B102" s="240" t="s">
        <v>126</v>
      </c>
      <c r="C102" s="238">
        <v>4</v>
      </c>
      <c r="D102" s="238">
        <v>4.5</v>
      </c>
      <c r="E102" s="238">
        <v>5</v>
      </c>
      <c r="F102" s="238">
        <v>5</v>
      </c>
      <c r="G102" s="238">
        <v>6</v>
      </c>
      <c r="H102" s="238">
        <v>8.5</v>
      </c>
      <c r="I102" s="238">
        <v>9.5</v>
      </c>
      <c r="J102" s="238">
        <v>13</v>
      </c>
      <c r="K102" s="240" t="s">
        <v>126</v>
      </c>
      <c r="L102" s="238">
        <v>15.5</v>
      </c>
      <c r="N102" s="240" t="s">
        <v>126</v>
      </c>
      <c r="O102" s="238">
        <v>6.5</v>
      </c>
      <c r="P102" s="238">
        <v>8.5</v>
      </c>
      <c r="Q102" s="238">
        <v>9.5</v>
      </c>
      <c r="R102" s="238">
        <v>12</v>
      </c>
      <c r="S102" s="238">
        <v>17.5</v>
      </c>
      <c r="T102" s="238">
        <v>22</v>
      </c>
      <c r="U102" s="238"/>
      <c r="V102" s="196">
        <v>6.0576</v>
      </c>
      <c r="W102" s="196">
        <v>6.2991</v>
      </c>
      <c r="X102" s="196">
        <v>6.2991</v>
      </c>
      <c r="Y102" s="196">
        <v>6.5588</v>
      </c>
      <c r="Z102" s="196">
        <v>6.6802</v>
      </c>
      <c r="AA102" s="196">
        <v>6.57</v>
      </c>
      <c r="AB102" s="196">
        <v>6.2895</v>
      </c>
      <c r="AC102" s="196">
        <v>5.8099</v>
      </c>
      <c r="AD102" s="241"/>
    </row>
    <row r="103" spans="1:30" ht="12.75">
      <c r="A103" s="237">
        <v>40598</v>
      </c>
      <c r="B103" s="240" t="s">
        <v>126</v>
      </c>
      <c r="C103" s="238">
        <v>4</v>
      </c>
      <c r="D103" s="238">
        <v>4</v>
      </c>
      <c r="E103" s="238">
        <v>5</v>
      </c>
      <c r="F103" s="238">
        <v>5</v>
      </c>
      <c r="G103" s="238">
        <v>5.5</v>
      </c>
      <c r="H103" s="238">
        <v>8.5</v>
      </c>
      <c r="I103" s="238">
        <v>10</v>
      </c>
      <c r="J103" s="238">
        <v>13</v>
      </c>
      <c r="K103" s="240" t="s">
        <v>126</v>
      </c>
      <c r="L103" s="238">
        <v>15</v>
      </c>
      <c r="N103" s="240" t="s">
        <v>126</v>
      </c>
      <c r="O103" s="238">
        <v>6</v>
      </c>
      <c r="P103" s="238">
        <v>8.5</v>
      </c>
      <c r="Q103" s="238">
        <v>9.5</v>
      </c>
      <c r="R103" s="238">
        <v>12</v>
      </c>
      <c r="S103" s="238">
        <v>17.5</v>
      </c>
      <c r="T103" s="238">
        <v>22.5</v>
      </c>
      <c r="U103" s="238"/>
      <c r="V103" s="196">
        <v>6.294</v>
      </c>
      <c r="W103" s="196">
        <v>6.3869</v>
      </c>
      <c r="X103" s="196">
        <v>6.4798</v>
      </c>
      <c r="Y103" s="196">
        <v>6.668</v>
      </c>
      <c r="Z103" s="196">
        <v>6.7398</v>
      </c>
      <c r="AA103" s="196">
        <v>6.6258</v>
      </c>
      <c r="AB103" s="196">
        <v>6.3517</v>
      </c>
      <c r="AC103" s="196">
        <v>5.8222</v>
      </c>
      <c r="AD103" s="241"/>
    </row>
    <row r="104" spans="1:29" ht="12.75">
      <c r="A104" s="237">
        <v>40599</v>
      </c>
      <c r="B104" s="240" t="s">
        <v>126</v>
      </c>
      <c r="C104" s="238">
        <v>4</v>
      </c>
      <c r="D104" s="238">
        <v>4.5</v>
      </c>
      <c r="E104" s="238">
        <v>5</v>
      </c>
      <c r="F104" s="238">
        <v>5</v>
      </c>
      <c r="G104" s="238">
        <v>5.5</v>
      </c>
      <c r="H104" s="238">
        <v>8</v>
      </c>
      <c r="I104" s="238">
        <v>9.5</v>
      </c>
      <c r="J104" s="238">
        <v>12.5</v>
      </c>
      <c r="K104" s="240" t="s">
        <v>126</v>
      </c>
      <c r="L104" s="238">
        <v>15</v>
      </c>
      <c r="N104" s="240" t="s">
        <v>126</v>
      </c>
      <c r="O104" s="238">
        <v>6</v>
      </c>
      <c r="P104" s="238">
        <v>8.5</v>
      </c>
      <c r="Q104" s="238">
        <v>9.5</v>
      </c>
      <c r="R104" s="238">
        <v>12</v>
      </c>
      <c r="S104" s="238">
        <v>17.5</v>
      </c>
      <c r="T104" s="238">
        <v>22.5</v>
      </c>
      <c r="U104" s="238"/>
      <c r="V104" s="196">
        <v>6.3539</v>
      </c>
      <c r="W104" s="196">
        <v>6.45275</v>
      </c>
      <c r="X104" s="196">
        <v>6.5516</v>
      </c>
      <c r="Y104" s="196">
        <v>6.6885</v>
      </c>
      <c r="Z104" s="196">
        <v>6.7199</v>
      </c>
      <c r="AA104" s="196">
        <v>6.6336</v>
      </c>
      <c r="AB104" s="196">
        <v>6.3484</v>
      </c>
      <c r="AC104" s="196">
        <v>5.815</v>
      </c>
    </row>
    <row r="105" spans="1:29" ht="12.75">
      <c r="A105" s="237">
        <v>40602</v>
      </c>
      <c r="B105" s="240" t="s">
        <v>126</v>
      </c>
      <c r="C105" s="238">
        <v>4</v>
      </c>
      <c r="D105" s="238">
        <v>4</v>
      </c>
      <c r="E105" s="238">
        <v>5</v>
      </c>
      <c r="F105" s="238">
        <v>5</v>
      </c>
      <c r="G105" s="238">
        <v>5</v>
      </c>
      <c r="H105" s="238">
        <v>7.5</v>
      </c>
      <c r="I105" s="238">
        <v>9</v>
      </c>
      <c r="J105" s="238">
        <v>10.5</v>
      </c>
      <c r="K105" s="240" t="s">
        <v>126</v>
      </c>
      <c r="L105" s="238">
        <v>14.5</v>
      </c>
      <c r="N105" s="240" t="s">
        <v>126</v>
      </c>
      <c r="O105" s="238">
        <v>6</v>
      </c>
      <c r="P105" s="238">
        <v>7.5</v>
      </c>
      <c r="Q105" s="238">
        <v>9.5</v>
      </c>
      <c r="R105" s="238">
        <v>12</v>
      </c>
      <c r="S105" s="238">
        <v>17.5</v>
      </c>
      <c r="T105" s="238">
        <v>22</v>
      </c>
      <c r="U105" s="238"/>
      <c r="V105" s="196">
        <v>6.3521</v>
      </c>
      <c r="W105" s="196">
        <v>6.46005</v>
      </c>
      <c r="X105" s="196">
        <v>6.568</v>
      </c>
      <c r="Y105" s="196">
        <v>6.66</v>
      </c>
      <c r="Z105" s="196">
        <v>6.6899</v>
      </c>
      <c r="AA105" s="196">
        <v>6.6276</v>
      </c>
      <c r="AB105" s="196">
        <v>6.3415</v>
      </c>
      <c r="AC105" s="196">
        <v>5.8179</v>
      </c>
    </row>
    <row r="106" spans="1:30" ht="12.75">
      <c r="A106" s="237">
        <v>40603</v>
      </c>
      <c r="B106" s="240" t="s">
        <v>126</v>
      </c>
      <c r="C106" s="238">
        <v>4</v>
      </c>
      <c r="D106" s="238">
        <v>4.5</v>
      </c>
      <c r="E106" s="238">
        <v>5</v>
      </c>
      <c r="F106" s="238">
        <v>5</v>
      </c>
      <c r="G106" s="238">
        <v>5.5</v>
      </c>
      <c r="H106" s="238">
        <v>7.5</v>
      </c>
      <c r="I106" s="238">
        <v>8.5</v>
      </c>
      <c r="J106" s="238">
        <v>10</v>
      </c>
      <c r="K106" s="240" t="s">
        <v>126</v>
      </c>
      <c r="L106" s="238">
        <v>14</v>
      </c>
      <c r="N106" s="240" t="s">
        <v>126</v>
      </c>
      <c r="O106" s="238">
        <v>5.5</v>
      </c>
      <c r="P106" s="238">
        <v>8</v>
      </c>
      <c r="Q106" s="238">
        <v>9.5</v>
      </c>
      <c r="R106" s="238">
        <v>11.5</v>
      </c>
      <c r="S106" s="238">
        <v>17</v>
      </c>
      <c r="T106" s="238">
        <v>22</v>
      </c>
      <c r="U106" s="238"/>
      <c r="V106" s="196">
        <v>6.3</v>
      </c>
      <c r="W106" s="196">
        <v>6.399150000000001</v>
      </c>
      <c r="X106" s="196">
        <v>6.4983</v>
      </c>
      <c r="Y106" s="196">
        <v>6.5912</v>
      </c>
      <c r="Z106" s="196">
        <v>6.6021</v>
      </c>
      <c r="AA106" s="196">
        <v>6.5526</v>
      </c>
      <c r="AB106" s="196">
        <v>6.3045</v>
      </c>
      <c r="AC106" s="196">
        <v>5.8389</v>
      </c>
      <c r="AD106" s="239"/>
    </row>
    <row r="107" spans="1:29" ht="12.75">
      <c r="A107" s="237">
        <v>40604</v>
      </c>
      <c r="B107" s="240" t="s">
        <v>126</v>
      </c>
      <c r="C107" s="238">
        <v>4</v>
      </c>
      <c r="D107" s="238">
        <v>4.5</v>
      </c>
      <c r="E107" s="238">
        <v>5</v>
      </c>
      <c r="F107" s="238">
        <v>5</v>
      </c>
      <c r="G107" s="238">
        <v>5.5</v>
      </c>
      <c r="H107" s="238">
        <v>7</v>
      </c>
      <c r="I107" s="238">
        <v>8.5</v>
      </c>
      <c r="J107" s="238">
        <v>10</v>
      </c>
      <c r="K107" s="240" t="s">
        <v>126</v>
      </c>
      <c r="L107" s="238">
        <v>14.5</v>
      </c>
      <c r="N107" s="240" t="s">
        <v>126</v>
      </c>
      <c r="O107" s="238">
        <v>5</v>
      </c>
      <c r="P107" s="238">
        <v>8</v>
      </c>
      <c r="Q107" s="238">
        <v>9.5</v>
      </c>
      <c r="R107" s="238">
        <v>11.5</v>
      </c>
      <c r="S107" s="238">
        <v>17</v>
      </c>
      <c r="T107" s="238">
        <v>22</v>
      </c>
      <c r="U107" s="238"/>
      <c r="V107" s="196">
        <v>6.3257</v>
      </c>
      <c r="W107" s="196">
        <v>6.4183</v>
      </c>
      <c r="X107" s="196">
        <v>6.5109</v>
      </c>
      <c r="Y107" s="196">
        <v>6.6299</v>
      </c>
      <c r="Z107" s="196">
        <v>6.63</v>
      </c>
      <c r="AA107" s="196">
        <v>6.5798</v>
      </c>
      <c r="AB107" s="196">
        <v>6.318</v>
      </c>
      <c r="AC107" s="196">
        <v>5.8408</v>
      </c>
    </row>
    <row r="108" spans="1:29" ht="12.75">
      <c r="A108" s="237">
        <v>40605</v>
      </c>
      <c r="B108" s="240" t="s">
        <v>126</v>
      </c>
      <c r="C108" s="238">
        <v>4</v>
      </c>
      <c r="D108" s="238">
        <v>4</v>
      </c>
      <c r="E108" s="238">
        <v>5</v>
      </c>
      <c r="F108" s="238">
        <v>5</v>
      </c>
      <c r="G108" s="238">
        <v>5.5</v>
      </c>
      <c r="H108" s="238">
        <v>7</v>
      </c>
      <c r="I108" s="238">
        <v>8.5</v>
      </c>
      <c r="J108" s="238">
        <v>10</v>
      </c>
      <c r="K108" s="238">
        <v>12</v>
      </c>
      <c r="L108" s="238">
        <v>14.5</v>
      </c>
      <c r="N108" s="240" t="s">
        <v>126</v>
      </c>
      <c r="O108" s="238">
        <v>5</v>
      </c>
      <c r="P108" s="238">
        <v>7.5</v>
      </c>
      <c r="Q108" s="238">
        <v>9.5</v>
      </c>
      <c r="R108" s="238">
        <v>11.5</v>
      </c>
      <c r="S108" s="238">
        <v>17</v>
      </c>
      <c r="T108" s="238">
        <v>22</v>
      </c>
      <c r="U108" s="238"/>
      <c r="V108" s="196">
        <v>6.3274</v>
      </c>
      <c r="W108" s="196">
        <v>6.4209499999999995</v>
      </c>
      <c r="X108" s="196">
        <v>6.5145</v>
      </c>
      <c r="Y108" s="196">
        <v>6.63</v>
      </c>
      <c r="Z108" s="196">
        <v>6.6612</v>
      </c>
      <c r="AA108" s="196">
        <v>6.611</v>
      </c>
      <c r="AB108" s="196">
        <v>6.352</v>
      </c>
      <c r="AC108" s="196">
        <v>5.8544</v>
      </c>
    </row>
    <row r="109" spans="1:29" ht="12.75">
      <c r="A109" s="237">
        <v>40606</v>
      </c>
      <c r="B109" s="240" t="s">
        <v>126</v>
      </c>
      <c r="C109" s="238">
        <v>4</v>
      </c>
      <c r="D109" s="238">
        <v>4</v>
      </c>
      <c r="E109" s="238">
        <v>5</v>
      </c>
      <c r="F109" s="238">
        <v>5</v>
      </c>
      <c r="G109" s="238">
        <v>5.5</v>
      </c>
      <c r="H109" s="238">
        <v>6.5</v>
      </c>
      <c r="I109" s="238">
        <v>8</v>
      </c>
      <c r="J109" s="238">
        <v>9.5</v>
      </c>
      <c r="K109" s="238">
        <v>11</v>
      </c>
      <c r="L109" s="238">
        <v>14.5</v>
      </c>
      <c r="N109" s="240" t="s">
        <v>126</v>
      </c>
      <c r="O109" s="238">
        <v>5</v>
      </c>
      <c r="P109" s="238">
        <v>7.5</v>
      </c>
      <c r="Q109" s="238">
        <v>9</v>
      </c>
      <c r="R109" s="238">
        <v>10.5</v>
      </c>
      <c r="S109" s="238">
        <v>17</v>
      </c>
      <c r="T109" s="238">
        <v>22</v>
      </c>
      <c r="U109" s="238"/>
      <c r="V109" s="196">
        <v>6.3228</v>
      </c>
      <c r="W109" s="196">
        <v>6.41345</v>
      </c>
      <c r="X109" s="196">
        <v>6.5041</v>
      </c>
      <c r="Y109" s="196">
        <v>6.6195</v>
      </c>
      <c r="Z109" s="196">
        <v>6.64</v>
      </c>
      <c r="AA109" s="196">
        <v>6.5897</v>
      </c>
      <c r="AB109" s="196">
        <v>6.3308</v>
      </c>
      <c r="AC109" s="196">
        <v>5.8513</v>
      </c>
    </row>
    <row r="110" spans="1:29" ht="12.75">
      <c r="A110" s="237">
        <v>40611</v>
      </c>
      <c r="B110" s="240" t="s">
        <v>126</v>
      </c>
      <c r="C110" s="238">
        <v>4</v>
      </c>
      <c r="D110" s="238">
        <v>4</v>
      </c>
      <c r="E110" s="238">
        <v>5</v>
      </c>
      <c r="F110" s="238">
        <v>4.5</v>
      </c>
      <c r="G110" s="238">
        <v>5.5</v>
      </c>
      <c r="H110" s="238">
        <v>6.5</v>
      </c>
      <c r="I110" s="238">
        <v>8</v>
      </c>
      <c r="J110" s="238">
        <v>9.5</v>
      </c>
      <c r="K110" s="238">
        <v>11</v>
      </c>
      <c r="L110" s="238">
        <v>14.5</v>
      </c>
      <c r="N110" s="240" t="s">
        <v>126</v>
      </c>
      <c r="O110" s="238">
        <v>5</v>
      </c>
      <c r="P110" s="238">
        <v>7.5</v>
      </c>
      <c r="Q110" s="238">
        <v>9</v>
      </c>
      <c r="R110" s="238">
        <v>10.5</v>
      </c>
      <c r="S110" s="238">
        <v>17</v>
      </c>
      <c r="T110" s="238">
        <v>22</v>
      </c>
      <c r="U110" s="238"/>
      <c r="V110" s="196">
        <v>6.3195</v>
      </c>
      <c r="W110" s="196">
        <v>6.40975</v>
      </c>
      <c r="X110" s="196">
        <v>6.5</v>
      </c>
      <c r="Y110" s="196">
        <v>6.6105</v>
      </c>
      <c r="Z110" s="196">
        <v>6.6396</v>
      </c>
      <c r="AA110" s="196">
        <v>6.5876</v>
      </c>
      <c r="AB110" s="196">
        <v>6.3314</v>
      </c>
      <c r="AC110" s="196">
        <v>5.8556</v>
      </c>
    </row>
    <row r="111" spans="1:29" ht="12.75">
      <c r="A111" s="237">
        <v>40612</v>
      </c>
      <c r="B111" s="240" t="s">
        <v>126</v>
      </c>
      <c r="C111" s="238">
        <v>4</v>
      </c>
      <c r="D111" s="238">
        <v>4</v>
      </c>
      <c r="E111" s="238">
        <v>5</v>
      </c>
      <c r="F111" s="238">
        <v>4.5</v>
      </c>
      <c r="G111" s="238">
        <v>5</v>
      </c>
      <c r="H111" s="238">
        <v>6.5</v>
      </c>
      <c r="I111" s="238">
        <v>8.5</v>
      </c>
      <c r="J111" s="238">
        <v>9.5</v>
      </c>
      <c r="K111" s="238">
        <v>10.5</v>
      </c>
      <c r="L111" s="238">
        <v>14.5</v>
      </c>
      <c r="N111" s="240" t="s">
        <v>126</v>
      </c>
      <c r="O111" s="238">
        <v>5</v>
      </c>
      <c r="P111" s="238">
        <v>7.5</v>
      </c>
      <c r="Q111" s="238">
        <v>9</v>
      </c>
      <c r="R111" s="238">
        <v>11</v>
      </c>
      <c r="S111" s="238">
        <v>17</v>
      </c>
      <c r="T111" s="238">
        <v>22</v>
      </c>
      <c r="U111" s="238"/>
      <c r="V111" s="196">
        <v>6.29</v>
      </c>
      <c r="W111" s="196">
        <v>6.3218499999999995</v>
      </c>
      <c r="X111" s="196">
        <v>6.3537</v>
      </c>
      <c r="Y111" s="196">
        <v>6.4669</v>
      </c>
      <c r="Z111" s="196">
        <v>6.5197</v>
      </c>
      <c r="AA111" s="196">
        <v>6.4868</v>
      </c>
      <c r="AB111" s="196">
        <v>6.2819</v>
      </c>
      <c r="AC111" s="196">
        <v>5.827</v>
      </c>
    </row>
    <row r="112" spans="1:29" ht="12.75">
      <c r="A112" s="237">
        <v>40613</v>
      </c>
      <c r="B112" s="240" t="s">
        <v>126</v>
      </c>
      <c r="C112" s="238">
        <v>5</v>
      </c>
      <c r="D112" s="238">
        <v>4</v>
      </c>
      <c r="E112" s="238">
        <v>5</v>
      </c>
      <c r="F112" s="238">
        <v>4.5</v>
      </c>
      <c r="G112" s="238">
        <v>5.5</v>
      </c>
      <c r="H112" s="238">
        <v>6.5</v>
      </c>
      <c r="I112" s="238">
        <v>8</v>
      </c>
      <c r="J112" s="238">
        <v>9.5</v>
      </c>
      <c r="K112" s="238">
        <v>11.5</v>
      </c>
      <c r="L112" s="238">
        <v>15</v>
      </c>
      <c r="N112" s="240" t="s">
        <v>126</v>
      </c>
      <c r="O112" s="238">
        <v>5.5</v>
      </c>
      <c r="P112" s="238">
        <v>7.5</v>
      </c>
      <c r="Q112" s="238">
        <v>9</v>
      </c>
      <c r="R112" s="238">
        <v>11</v>
      </c>
      <c r="S112" s="238">
        <v>17</v>
      </c>
      <c r="T112" s="238">
        <v>22</v>
      </c>
      <c r="U112" s="238"/>
      <c r="V112" s="196">
        <v>6.3792</v>
      </c>
      <c r="W112" s="196">
        <v>6.3466000000000005</v>
      </c>
      <c r="X112" s="196">
        <v>6.314</v>
      </c>
      <c r="Y112" s="196">
        <v>6.457</v>
      </c>
      <c r="Z112" s="196">
        <v>6.5452</v>
      </c>
      <c r="AA112" s="196">
        <v>6.5087</v>
      </c>
      <c r="AB112" s="196">
        <v>6.3022</v>
      </c>
      <c r="AC112" s="196">
        <v>5.8017</v>
      </c>
    </row>
    <row r="113" spans="1:29" ht="12.75">
      <c r="A113" s="237">
        <v>40616</v>
      </c>
      <c r="B113" s="240" t="s">
        <v>126</v>
      </c>
      <c r="C113" s="238">
        <v>5</v>
      </c>
      <c r="D113" s="238">
        <v>4</v>
      </c>
      <c r="E113" s="238">
        <v>5</v>
      </c>
      <c r="F113" s="238">
        <v>4.5</v>
      </c>
      <c r="G113" s="238">
        <v>5.5</v>
      </c>
      <c r="H113" s="238">
        <v>6.5</v>
      </c>
      <c r="I113" s="238">
        <v>8</v>
      </c>
      <c r="J113" s="238">
        <v>9.5</v>
      </c>
      <c r="K113" s="238">
        <v>11.5</v>
      </c>
      <c r="L113" s="238">
        <v>15</v>
      </c>
      <c r="N113" s="240" t="s">
        <v>126</v>
      </c>
      <c r="O113" s="238">
        <v>5.5</v>
      </c>
      <c r="P113" s="238">
        <v>7.5</v>
      </c>
      <c r="Q113" s="238">
        <v>9</v>
      </c>
      <c r="R113" s="238">
        <v>11</v>
      </c>
      <c r="S113" s="238">
        <v>17</v>
      </c>
      <c r="T113" s="238">
        <v>22</v>
      </c>
      <c r="U113" s="238"/>
      <c r="V113" s="196">
        <v>6.4216</v>
      </c>
      <c r="W113" s="196">
        <v>6.39555</v>
      </c>
      <c r="X113" s="196">
        <v>6.3695</v>
      </c>
      <c r="Y113" s="196">
        <v>6.4797</v>
      </c>
      <c r="Z113" s="196">
        <v>6.5718</v>
      </c>
      <c r="AA113" s="196">
        <v>6.5182</v>
      </c>
      <c r="AB113" s="196">
        <v>6.3372</v>
      </c>
      <c r="AC113" s="196">
        <v>5.8339</v>
      </c>
    </row>
    <row r="114" spans="1:29" ht="12.75">
      <c r="A114" s="237">
        <v>40617</v>
      </c>
      <c r="B114" s="240" t="s">
        <v>126</v>
      </c>
      <c r="C114" s="238">
        <v>4</v>
      </c>
      <c r="D114" s="238">
        <v>4</v>
      </c>
      <c r="E114" s="238">
        <v>4.5</v>
      </c>
      <c r="F114" s="238">
        <v>4.5</v>
      </c>
      <c r="G114" s="238">
        <v>5.5</v>
      </c>
      <c r="H114" s="238">
        <v>6</v>
      </c>
      <c r="I114" s="238">
        <v>8.5</v>
      </c>
      <c r="J114" s="238">
        <v>9.5</v>
      </c>
      <c r="K114" s="238">
        <v>11.5</v>
      </c>
      <c r="L114" s="238">
        <v>15.5</v>
      </c>
      <c r="N114" s="240" t="s">
        <v>126</v>
      </c>
      <c r="O114" s="238">
        <v>5</v>
      </c>
      <c r="P114" s="238">
        <v>7.5</v>
      </c>
      <c r="Q114" s="238">
        <v>9</v>
      </c>
      <c r="R114" s="238">
        <v>10.5</v>
      </c>
      <c r="S114" s="238">
        <v>20</v>
      </c>
      <c r="T114" s="238">
        <v>23.5</v>
      </c>
      <c r="U114" s="238"/>
      <c r="V114" s="196">
        <v>6.4929</v>
      </c>
      <c r="W114" s="196">
        <v>6.4845500000000005</v>
      </c>
      <c r="X114" s="196">
        <v>6.4762</v>
      </c>
      <c r="Y114" s="196">
        <v>6.5309</v>
      </c>
      <c r="Z114" s="196">
        <v>6.615</v>
      </c>
      <c r="AA114" s="196">
        <v>6.5499</v>
      </c>
      <c r="AB114" s="196">
        <v>6.3747</v>
      </c>
      <c r="AC114" s="196">
        <v>5.8501</v>
      </c>
    </row>
    <row r="115" spans="1:29" ht="12.75">
      <c r="A115" s="237">
        <v>40618</v>
      </c>
      <c r="B115" s="240" t="s">
        <v>126</v>
      </c>
      <c r="C115" s="238">
        <v>5</v>
      </c>
      <c r="D115" s="238">
        <v>3.5</v>
      </c>
      <c r="E115" s="238">
        <v>4.5</v>
      </c>
      <c r="F115" s="238">
        <v>4.5</v>
      </c>
      <c r="G115" s="238">
        <v>5.5</v>
      </c>
      <c r="H115" s="238">
        <v>6.5</v>
      </c>
      <c r="I115" s="238">
        <v>8.5</v>
      </c>
      <c r="J115" s="238">
        <v>9.5</v>
      </c>
      <c r="K115" s="238">
        <v>11.5</v>
      </c>
      <c r="L115" s="238">
        <v>15.5</v>
      </c>
      <c r="N115" s="240" t="s">
        <v>126</v>
      </c>
      <c r="O115" s="238">
        <v>5.5</v>
      </c>
      <c r="P115" s="238">
        <v>8</v>
      </c>
      <c r="Q115" s="238">
        <v>9</v>
      </c>
      <c r="R115" s="238">
        <v>11</v>
      </c>
      <c r="S115" s="238">
        <v>19.5</v>
      </c>
      <c r="T115" s="238">
        <v>23</v>
      </c>
      <c r="U115" s="238"/>
      <c r="V115" s="196">
        <v>6.5371</v>
      </c>
      <c r="W115" s="196">
        <v>6.52675</v>
      </c>
      <c r="X115" s="196">
        <v>6.5164</v>
      </c>
      <c r="Y115" s="196">
        <v>6.5215</v>
      </c>
      <c r="Z115" s="196">
        <v>6.6002</v>
      </c>
      <c r="AA115" s="196">
        <v>6.5493</v>
      </c>
      <c r="AB115" s="196">
        <v>6.3734</v>
      </c>
      <c r="AC115" s="196">
        <v>5.8577</v>
      </c>
    </row>
    <row r="116" spans="1:29" ht="12.75">
      <c r="A116" s="237">
        <v>40619</v>
      </c>
      <c r="B116" s="240" t="s">
        <v>126</v>
      </c>
      <c r="C116" s="238">
        <v>5</v>
      </c>
      <c r="D116" s="238">
        <v>3.5</v>
      </c>
      <c r="E116" s="238">
        <v>4</v>
      </c>
      <c r="F116" s="238">
        <v>4.5</v>
      </c>
      <c r="G116" s="238">
        <v>5.5</v>
      </c>
      <c r="H116" s="238">
        <v>6</v>
      </c>
      <c r="I116" s="238">
        <v>9</v>
      </c>
      <c r="J116" s="238">
        <v>10</v>
      </c>
      <c r="K116" s="238">
        <v>12</v>
      </c>
      <c r="L116" s="238">
        <v>15.5</v>
      </c>
      <c r="N116" s="240" t="s">
        <v>126</v>
      </c>
      <c r="O116" s="238">
        <v>5</v>
      </c>
      <c r="P116" s="238">
        <v>7.5</v>
      </c>
      <c r="Q116" s="238">
        <v>9</v>
      </c>
      <c r="R116" s="238">
        <v>12</v>
      </c>
      <c r="S116" s="238">
        <v>20</v>
      </c>
      <c r="T116" s="238">
        <v>24</v>
      </c>
      <c r="U116" s="238"/>
      <c r="V116" s="196">
        <v>6.5105</v>
      </c>
      <c r="W116" s="196">
        <v>6.48505</v>
      </c>
      <c r="X116" s="196">
        <v>6.4596</v>
      </c>
      <c r="Y116" s="196">
        <v>6.5194</v>
      </c>
      <c r="Z116" s="196">
        <v>6.6195</v>
      </c>
      <c r="AA116" s="196">
        <v>6.5705</v>
      </c>
      <c r="AB116" s="196">
        <v>6.3769</v>
      </c>
      <c r="AC116" s="196">
        <v>5.8562</v>
      </c>
    </row>
    <row r="117" spans="1:29" ht="12.75">
      <c r="A117" s="237">
        <v>40620</v>
      </c>
      <c r="B117" s="240" t="s">
        <v>126</v>
      </c>
      <c r="C117" s="238">
        <v>4</v>
      </c>
      <c r="D117" s="238">
        <v>3</v>
      </c>
      <c r="E117" s="238">
        <v>4</v>
      </c>
      <c r="F117" s="238">
        <v>4.5</v>
      </c>
      <c r="G117" s="238">
        <v>5</v>
      </c>
      <c r="H117" s="238">
        <v>6</v>
      </c>
      <c r="I117" s="238">
        <v>8.5</v>
      </c>
      <c r="J117" s="238">
        <v>9.5</v>
      </c>
      <c r="K117" s="238">
        <v>12</v>
      </c>
      <c r="L117" s="238">
        <v>15.5</v>
      </c>
      <c r="N117" s="240" t="s">
        <v>126</v>
      </c>
      <c r="O117" s="238">
        <v>5</v>
      </c>
      <c r="P117" s="238">
        <v>8</v>
      </c>
      <c r="Q117" s="238">
        <v>9.5</v>
      </c>
      <c r="R117" s="238">
        <v>11</v>
      </c>
      <c r="S117" s="238">
        <v>21.5</v>
      </c>
      <c r="T117" s="238">
        <v>25</v>
      </c>
      <c r="U117" s="238"/>
      <c r="V117" s="196">
        <v>6.4568</v>
      </c>
      <c r="W117" s="196">
        <v>6.44545</v>
      </c>
      <c r="X117" s="196">
        <v>6.4341</v>
      </c>
      <c r="Y117" s="196">
        <v>6.4948</v>
      </c>
      <c r="Z117" s="196">
        <v>6.585</v>
      </c>
      <c r="AA117" s="196">
        <v>6.5395</v>
      </c>
      <c r="AB117" s="196">
        <v>6.3554</v>
      </c>
      <c r="AC117" s="196">
        <v>5.8388</v>
      </c>
    </row>
    <row r="118" spans="1:29" ht="12.75">
      <c r="A118" s="237">
        <v>40623</v>
      </c>
      <c r="B118" s="240" t="s">
        <v>126</v>
      </c>
      <c r="C118" s="238">
        <v>6</v>
      </c>
      <c r="D118" s="238">
        <v>3.5</v>
      </c>
      <c r="E118" s="238">
        <v>4</v>
      </c>
      <c r="F118" s="238">
        <v>4.5</v>
      </c>
      <c r="G118" s="238">
        <v>5</v>
      </c>
      <c r="H118" s="238">
        <v>5.999999999999999</v>
      </c>
      <c r="I118" s="238">
        <v>8.5</v>
      </c>
      <c r="J118" s="238">
        <v>9.5</v>
      </c>
      <c r="K118" s="238">
        <v>12</v>
      </c>
      <c r="L118" s="238">
        <v>15.5</v>
      </c>
      <c r="N118" s="240" t="s">
        <v>126</v>
      </c>
      <c r="O118" s="238">
        <v>5</v>
      </c>
      <c r="P118" s="238">
        <v>8</v>
      </c>
      <c r="Q118" s="238">
        <v>9.5</v>
      </c>
      <c r="R118" s="238">
        <v>11</v>
      </c>
      <c r="S118" s="238">
        <v>21.5</v>
      </c>
      <c r="T118" s="238">
        <v>25.5</v>
      </c>
      <c r="U118" s="238"/>
      <c r="V118" s="196">
        <v>6.3912</v>
      </c>
      <c r="W118" s="196">
        <v>6.4033</v>
      </c>
      <c r="X118" s="196">
        <v>6.4154</v>
      </c>
      <c r="Y118" s="196">
        <v>6.4955</v>
      </c>
      <c r="Z118" s="196">
        <v>6.6001</v>
      </c>
      <c r="AA118" s="196">
        <v>6.555</v>
      </c>
      <c r="AB118" s="196">
        <v>6.3691</v>
      </c>
      <c r="AC118" s="196">
        <v>5.8398</v>
      </c>
    </row>
    <row r="119" spans="1:29" ht="12.75">
      <c r="A119" s="237">
        <v>40624</v>
      </c>
      <c r="B119" s="240" t="s">
        <v>126</v>
      </c>
      <c r="C119" s="238">
        <v>6</v>
      </c>
      <c r="D119" s="238">
        <v>3.5</v>
      </c>
      <c r="E119" s="238">
        <v>3.5</v>
      </c>
      <c r="F119" s="238">
        <v>4.5</v>
      </c>
      <c r="G119" s="238">
        <v>4.5</v>
      </c>
      <c r="H119" s="238">
        <v>5</v>
      </c>
      <c r="I119" s="238">
        <v>7.5</v>
      </c>
      <c r="J119" s="238">
        <v>9.5</v>
      </c>
      <c r="K119" s="238">
        <v>11.5</v>
      </c>
      <c r="L119" s="238">
        <v>15</v>
      </c>
      <c r="N119" s="240" t="s">
        <v>126</v>
      </c>
      <c r="O119" s="238">
        <v>5</v>
      </c>
      <c r="P119" s="238">
        <v>7.5</v>
      </c>
      <c r="Q119" s="238">
        <v>9.5</v>
      </c>
      <c r="R119" s="238">
        <v>11</v>
      </c>
      <c r="S119" s="238">
        <v>21</v>
      </c>
      <c r="T119" s="238">
        <v>24</v>
      </c>
      <c r="U119" s="238"/>
      <c r="V119" s="196">
        <v>6.2351</v>
      </c>
      <c r="W119" s="196">
        <v>6.3024000000000004</v>
      </c>
      <c r="X119" s="196">
        <v>6.3697</v>
      </c>
      <c r="Y119" s="196">
        <v>6.4508</v>
      </c>
      <c r="Z119" s="196">
        <v>6.5593</v>
      </c>
      <c r="AA119" s="196">
        <v>6.5097</v>
      </c>
      <c r="AB119" s="196">
        <v>6.3347</v>
      </c>
      <c r="AC119" s="196">
        <v>5.8216</v>
      </c>
    </row>
    <row r="120" spans="1:29" ht="12.75">
      <c r="A120" s="237">
        <v>40625</v>
      </c>
      <c r="B120" s="240" t="s">
        <v>126</v>
      </c>
      <c r="C120" s="238">
        <v>6.5</v>
      </c>
      <c r="D120" s="238">
        <v>3.5</v>
      </c>
      <c r="E120" s="238">
        <v>3.5</v>
      </c>
      <c r="F120" s="238">
        <v>4.5</v>
      </c>
      <c r="G120" s="238">
        <v>4.5</v>
      </c>
      <c r="H120" s="238">
        <v>5</v>
      </c>
      <c r="I120" s="238">
        <v>7.5</v>
      </c>
      <c r="J120" s="238">
        <v>9</v>
      </c>
      <c r="K120" s="238">
        <v>11</v>
      </c>
      <c r="L120" s="238">
        <v>15</v>
      </c>
      <c r="N120" s="240" t="s">
        <v>126</v>
      </c>
      <c r="O120" s="238">
        <v>5</v>
      </c>
      <c r="P120" s="238">
        <v>7.5</v>
      </c>
      <c r="Q120" s="238">
        <v>9.5</v>
      </c>
      <c r="R120" s="238">
        <v>11</v>
      </c>
      <c r="S120" s="238">
        <v>21</v>
      </c>
      <c r="T120" s="238">
        <v>24</v>
      </c>
      <c r="U120" s="238"/>
      <c r="V120" s="196">
        <v>6.24</v>
      </c>
      <c r="W120" s="196">
        <v>6.3100000000000005</v>
      </c>
      <c r="X120" s="196">
        <v>6.38</v>
      </c>
      <c r="Y120" s="196">
        <v>6.47</v>
      </c>
      <c r="Z120" s="196">
        <v>6.6</v>
      </c>
      <c r="AA120" s="196">
        <v>6.52</v>
      </c>
      <c r="AB120" s="196">
        <v>6.34</v>
      </c>
      <c r="AC120" s="196">
        <v>5.53</v>
      </c>
    </row>
    <row r="121" spans="22:29" ht="12.75">
      <c r="V121" s="196"/>
      <c r="W121" s="196"/>
      <c r="X121" s="196"/>
      <c r="Y121" s="196"/>
      <c r="Z121" s="196"/>
      <c r="AA121" s="196"/>
      <c r="AB121" s="196"/>
      <c r="AC121" s="196"/>
    </row>
  </sheetData>
  <sheetProtection/>
  <mergeCells count="1">
    <mergeCell ref="B1:G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Home´s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Lamosa Berger</dc:creator>
  <cp:keywords/>
  <dc:description/>
  <cp:lastModifiedBy>Paulo Berger</cp:lastModifiedBy>
  <cp:lastPrinted>2004-06-25T12:21:48Z</cp:lastPrinted>
  <dcterms:created xsi:type="dcterms:W3CDTF">2001-10-24T01:40:52Z</dcterms:created>
  <dcterms:modified xsi:type="dcterms:W3CDTF">2013-05-19T14:23:28Z</dcterms:modified>
  <cp:category/>
  <cp:version/>
  <cp:contentType/>
  <cp:contentStatus/>
</cp:coreProperties>
</file>