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9040" windowHeight="15840" activeTab="1"/>
  </bookViews>
  <sheets>
    <sheet name="Exercicios" sheetId="1" r:id="rId1"/>
    <sheet name="Planilha1" sheetId="2" r:id="rId2"/>
    <sheet name="Feriado" sheetId="3" r:id="rId3"/>
    <sheet name="Spline" sheetId="4" r:id="rId4"/>
    <sheet name="Exercico 9" sheetId="5" r:id="rId5"/>
    <sheet name="Exercício 10" sheetId="6" r:id="rId6"/>
  </sheets>
  <definedNames>
    <definedName name="_xlfn.SINGLE" hidden="1">#NAME?</definedName>
    <definedName name="feriados">'Feriado'!$A$1:$L$62</definedName>
  </definedNames>
  <calcPr fullCalcOnLoad="1"/>
</workbook>
</file>

<file path=xl/sharedStrings.xml><?xml version="1.0" encoding="utf-8"?>
<sst xmlns="http://schemas.openxmlformats.org/spreadsheetml/2006/main" count="316" uniqueCount="192">
  <si>
    <t>taxa ano</t>
  </si>
  <si>
    <t>prazo</t>
  </si>
  <si>
    <t>du</t>
  </si>
  <si>
    <t>%a.a.</t>
  </si>
  <si>
    <t>DIAS ÚTEIS</t>
  </si>
  <si>
    <t>DIAS CORRIDOS</t>
  </si>
  <si>
    <t>dc</t>
  </si>
  <si>
    <t>Taxa nominal</t>
  </si>
  <si>
    <t>%a.s.</t>
  </si>
  <si>
    <t>BM&amp;F</t>
  </si>
  <si>
    <t>Prêmio</t>
  </si>
  <si>
    <t>p.b.</t>
  </si>
  <si>
    <t>PRÉ</t>
  </si>
  <si>
    <t>SELIC</t>
  </si>
  <si>
    <t>IPCA</t>
  </si>
  <si>
    <t>DÓLAR</t>
  </si>
  <si>
    <t>Tx pré</t>
  </si>
  <si>
    <t>Ágio/Deság.</t>
  </si>
  <si>
    <t>Cp. IPCA</t>
  </si>
  <si>
    <t>Cp. Cambial</t>
  </si>
  <si>
    <t>Taxa de instrumentos pós-fixados</t>
  </si>
  <si>
    <t>Taxa Ímplicita do mercado futuro</t>
  </si>
  <si>
    <t>PF</t>
  </si>
  <si>
    <t>PV</t>
  </si>
  <si>
    <t>Prazo</t>
  </si>
  <si>
    <t>Tx. Imp.</t>
  </si>
  <si>
    <t>%a.a</t>
  </si>
  <si>
    <t>Cálculo da taxa a termo</t>
  </si>
  <si>
    <t>DU</t>
  </si>
  <si>
    <t>Tx Spot</t>
  </si>
  <si>
    <t>Termo</t>
  </si>
  <si>
    <t>Tx. Curta</t>
  </si>
  <si>
    <t>Tx. Longa</t>
  </si>
  <si>
    <t>PU</t>
  </si>
  <si>
    <t>VN</t>
  </si>
  <si>
    <t>Taxa</t>
  </si>
  <si>
    <t>PU =</t>
  </si>
  <si>
    <t>CDI médio</t>
  </si>
  <si>
    <t>Res. Resgate</t>
  </si>
  <si>
    <t>LTN</t>
  </si>
  <si>
    <t>Fin</t>
  </si>
  <si>
    <t>Estoque</t>
  </si>
  <si>
    <t>ESPECULAÇÃO</t>
  </si>
  <si>
    <t>ARBITRAGEM</t>
  </si>
  <si>
    <t>Fin.</t>
  </si>
  <si>
    <t>Qde. Cts.</t>
  </si>
  <si>
    <t>Pre</t>
  </si>
  <si>
    <t>Pós</t>
  </si>
  <si>
    <t>Res. BM&amp;F</t>
  </si>
  <si>
    <t>Res. LTN.</t>
  </si>
  <si>
    <t>Res. Arb.</t>
  </si>
  <si>
    <t>no resgate</t>
  </si>
  <si>
    <t>secundário</t>
  </si>
  <si>
    <t>Hedge</t>
  </si>
  <si>
    <t>Liq. Futuro</t>
  </si>
  <si>
    <t>Vd LTN</t>
  </si>
  <si>
    <t>no secundário</t>
  </si>
  <si>
    <t>Res. Hedge.</t>
  </si>
  <si>
    <t>Duration</t>
  </si>
  <si>
    <t>VENCIMENTO</t>
  </si>
  <si>
    <t>TAXA</t>
  </si>
  <si>
    <t>BM$F</t>
  </si>
  <si>
    <t>PRÊMIO</t>
  </si>
  <si>
    <t>VALOR NOMINAL</t>
  </si>
  <si>
    <t>CUPOM DE JUROS</t>
  </si>
  <si>
    <t>JUROS</t>
  </si>
  <si>
    <t>LIQUIDAÇÃO</t>
  </si>
  <si>
    <t>VR. PRESENTE</t>
  </si>
  <si>
    <t>VR. FUTURO</t>
  </si>
  <si>
    <t>DT. LIQ.</t>
  </si>
  <si>
    <t>DT VENC.</t>
  </si>
  <si>
    <t>FLUXO</t>
  </si>
  <si>
    <t>NTN-F</t>
  </si>
  <si>
    <t>NTN-B</t>
  </si>
  <si>
    <t>VNA</t>
  </si>
  <si>
    <t>VNA (15/10)</t>
  </si>
  <si>
    <t>COTAÇÃO</t>
  </si>
  <si>
    <t>PROJ IPCA DO MÊS (%)</t>
  </si>
  <si>
    <t>DU I</t>
  </si>
  <si>
    <t>DU F</t>
  </si>
  <si>
    <t>DU MÊS</t>
  </si>
  <si>
    <t>DU LIQ</t>
  </si>
  <si>
    <t>PRO RATA</t>
  </si>
  <si>
    <t>LFT</t>
  </si>
  <si>
    <t>Taxa (%)</t>
  </si>
  <si>
    <t>Du</t>
  </si>
  <si>
    <t>Cotação</t>
  </si>
  <si>
    <t>Example of usage:</t>
  </si>
  <si>
    <t xml:space="preserve">In </t>
  </si>
  <si>
    <t>In</t>
  </si>
  <si>
    <t>Spline</t>
  </si>
  <si>
    <t>Dados</t>
  </si>
  <si>
    <t>DC 360</t>
  </si>
  <si>
    <t>TX  nominal mensal</t>
  </si>
  <si>
    <t>Du 252</t>
  </si>
  <si>
    <t>Calcule as taxas efetivas no período para:</t>
  </si>
  <si>
    <t>%</t>
  </si>
  <si>
    <t>Calcule as taxas pré e pósfixadas para um DI Futuro de 8,40 e prêmio de 12 pontos base.</t>
  </si>
  <si>
    <t>DOLAR</t>
  </si>
  <si>
    <t>Considere as seguintes variações de indexadores:</t>
  </si>
  <si>
    <t>Calcule as taxas implícitas para:</t>
  </si>
  <si>
    <t>Calcule os termos:</t>
  </si>
  <si>
    <t>T2</t>
  </si>
  <si>
    <t>T3</t>
  </si>
  <si>
    <t>T4</t>
  </si>
  <si>
    <t>Taxa semestral</t>
  </si>
  <si>
    <t>Taxa Nominal Mensal</t>
  </si>
  <si>
    <t>Respostas</t>
  </si>
  <si>
    <t>Data</t>
  </si>
  <si>
    <t>Preço</t>
  </si>
  <si>
    <t>Calculo FLUXO E PU LTN</t>
  </si>
  <si>
    <t>Calculo FLUXO E PU LFT</t>
  </si>
  <si>
    <t>I</t>
  </si>
  <si>
    <t>II</t>
  </si>
  <si>
    <t>III</t>
  </si>
  <si>
    <t>IV</t>
  </si>
  <si>
    <t>Calculo FLUXO E PU NTN-F</t>
  </si>
  <si>
    <t>Calculo FLUXO E PU NTN-B</t>
  </si>
  <si>
    <t>http://www.bcb.gov.br/?SELICLFTLBC</t>
  </si>
  <si>
    <t>Endereço para encontar o VNA da LFT:</t>
  </si>
  <si>
    <t>VP * Prazo</t>
  </si>
  <si>
    <t>https://www.tesouro.fazenda.gov.br/pt/titulos-da-divida-interna</t>
  </si>
  <si>
    <t>Endereço para encontar o VNA da ntn</t>
  </si>
  <si>
    <t>V</t>
  </si>
  <si>
    <t>VI</t>
  </si>
  <si>
    <t>VII</t>
  </si>
  <si>
    <t>VIII</t>
  </si>
  <si>
    <t>IX</t>
  </si>
  <si>
    <t>Taxas Equivalentes</t>
  </si>
  <si>
    <t>X</t>
  </si>
  <si>
    <t>Grafico NTN-B</t>
  </si>
  <si>
    <t>Taxa XX dias úteis</t>
  </si>
  <si>
    <t>a</t>
  </si>
  <si>
    <t>b</t>
  </si>
  <si>
    <t>c</t>
  </si>
  <si>
    <t>d</t>
  </si>
  <si>
    <t>ETTJ</t>
  </si>
  <si>
    <t>9 - Calcular o PU de uma NTN-B com as características abaixo relacionadas:</t>
  </si>
  <si>
    <t>10 – Para o mercado de NTN-B de 07/04/2016, calcular as curvas de inflação implícita e termo e inflação para os vértices anuais até 2023. Não levar em consideração os fluxos com pagamentos de juros semestrais.</t>
  </si>
  <si>
    <t xml:space="preserve">NTN-B: </t>
  </si>
  <si>
    <t>LTN:</t>
  </si>
  <si>
    <t>NTN-F:</t>
  </si>
  <si>
    <t>Solução:</t>
  </si>
  <si>
    <t>01 - Valor do cujpom de 6%:</t>
  </si>
  <si>
    <t>cupom  = (1+6/100)^(1/2) - )*100</t>
  </si>
  <si>
    <t>OBS: com 6 casa decimais</t>
  </si>
  <si>
    <t>02 - Desenhar o fluxo:</t>
  </si>
  <si>
    <t>Liq:</t>
  </si>
  <si>
    <t>a - A partir do vencimento as datas de pagamento encontradas a cada 6 meses para trás, até a data da liquidação</t>
  </si>
  <si>
    <t>xo</t>
  </si>
  <si>
    <t>b - Caso algumas das data não seja dia útil, devemos adiantar a referidad data até o próximo.</t>
  </si>
  <si>
    <t>d - O último pagamento devemos somar o principal (100 no caso de cotação)</t>
  </si>
  <si>
    <t>c - Encontrar os dia úteis entre  as datas de pagamentos e da liquidação.</t>
  </si>
  <si>
    <t>03 = Achar a cotação:</t>
  </si>
  <si>
    <t>VF</t>
  </si>
  <si>
    <t>taxa</t>
  </si>
  <si>
    <t>Cotação = Somatório (VF/(1+taxa/100)^(DU/252)</t>
  </si>
  <si>
    <t>PU = cotação/100 * VNA</t>
  </si>
  <si>
    <t xml:space="preserve">PU </t>
  </si>
  <si>
    <t>04 - Achar o preço:</t>
  </si>
  <si>
    <t>Solução</t>
  </si>
  <si>
    <t>A inflação implícita será encontrada pela fórmula</t>
  </si>
  <si>
    <t>Inf. Impl. = ((1+taxa pré/100) / (1+taxa real/100) - 1)*100</t>
  </si>
  <si>
    <t>taxa pré = taxa para o período desejado interpolado no mercado de LTN</t>
  </si>
  <si>
    <t>taxa real= taxa para o período desejado interpolado no mercado de NTN-B</t>
  </si>
  <si>
    <t>OBS: Este forma está bastante simplificada pois deveríamos desconsiderar o efeito dos pagamentos de cupons de juros.</t>
  </si>
  <si>
    <t>DATA</t>
  </si>
  <si>
    <t>TAXA PRÉ</t>
  </si>
  <si>
    <t>NTN- B</t>
  </si>
  <si>
    <t>01 -CALCULAR AS TAXAS COM VÉRTICES ANUAIS ( VOU USAR O SPLINE)</t>
  </si>
  <si>
    <t>02 - CALCULAR A INFLAÇÃO IMPLÍCITA E A CURVA DE INFLAÇÃO</t>
  </si>
  <si>
    <t>INFLAÇÃO</t>
  </si>
  <si>
    <t>FATOR</t>
  </si>
  <si>
    <t>03 - CALCULAR O TERMO DE INFLAÇÃO</t>
  </si>
  <si>
    <t>CURTA</t>
  </si>
  <si>
    <t>LONGA</t>
  </si>
  <si>
    <t>**</t>
  </si>
  <si>
    <t>TERMO</t>
  </si>
  <si>
    <t>T1</t>
  </si>
  <si>
    <t>Gráfico</t>
  </si>
  <si>
    <t>Vecto.</t>
  </si>
  <si>
    <t>Contr. Aberto</t>
  </si>
  <si>
    <t>Contr. Negoc.</t>
  </si>
  <si>
    <t>Volume</t>
  </si>
  <si>
    <t>Preço Abertura</t>
  </si>
  <si>
    <t>Preço Mínimo</t>
  </si>
  <si>
    <t>Preço Máximo</t>
  </si>
  <si>
    <t>Preço Médio</t>
  </si>
  <si>
    <t>Último Preço</t>
  </si>
  <si>
    <t>Últ.Of. Compra</t>
  </si>
  <si>
    <t>Últ.Of. Venda</t>
  </si>
  <si>
    <t>Ajuste Anterior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</si>
</sst>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0.000000"/>
    <numFmt numFmtId="166" formatCode="_-* #,##0_-;\-* #,##0_-;_-* &quot;-&quot;??_-;_-@_-"/>
    <numFmt numFmtId="167" formatCode="_-* #,##0.00_-;\-* #,##0.00_-;_-* &quot;-&quot;??????_-;_-@_-"/>
    <numFmt numFmtId="168" formatCode="0.0000"/>
    <numFmt numFmtId="169" formatCode="0.000"/>
    <numFmt numFmtId="170" formatCode="_(* #,##0.000000_);_(* \(#,##0.000000\);_(* &quot;-&quot;??????_);_(@_)"/>
    <numFmt numFmtId="171" formatCode="_(* #,##0_);_(* \(#,##0\);_(* &quot;-&quot;??_);_(@_)"/>
    <numFmt numFmtId="172" formatCode="0.00000000"/>
    <numFmt numFmtId="173" formatCode="_(* #,##0.0000_);_(* \(#,##0.0000\);_(* &quot;-&quot;??_);_(@_)"/>
    <numFmt numFmtId="174" formatCode="General_)"/>
    <numFmt numFmtId="175" formatCode="_-* #,##0.0000_-;\-* #,##0.0000_-;_-* &quot;-&quot;??_-;_-@_-"/>
    <numFmt numFmtId="176" formatCode="_-* #,##0.000000_-;\-* #,##0.000000_-;_-* &quot;-&quot;??_-;_-@_-"/>
    <numFmt numFmtId="177" formatCode="_-* #,##0.000000_-;\-* #,##0.000000_-;_-* &quot;-&quot;??????_-;_-@_-"/>
    <numFmt numFmtId="178" formatCode="_-* #,##0.00000_-;\-* #,##0.00000_-;_-* &quot;-&quot;??_-;_-@_-"/>
    <numFmt numFmtId="179" formatCode="d\-mmm"/>
    <numFmt numFmtId="180" formatCode="#,##0.0000000000"/>
    <numFmt numFmtId="181" formatCode="d/m/yy;@"/>
    <numFmt numFmtId="182" formatCode="m/d/yyyy"/>
    <numFmt numFmtId="18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indexed="40"/>
      <name val="Calibri"/>
      <family val="2"/>
    </font>
    <font>
      <b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D0D0D"/>
      <name val="Calibri"/>
      <family val="2"/>
    </font>
    <font>
      <sz val="10"/>
      <color rgb="FFFF0000"/>
      <name val="Arial"/>
      <family val="2"/>
    </font>
    <font>
      <sz val="11"/>
      <color rgb="FFFFFFFF"/>
      <name val="Calibri"/>
      <family val="2"/>
    </font>
    <font>
      <sz val="11"/>
      <color rgb="FF00B0E6"/>
      <name val="Calibri"/>
      <family val="2"/>
    </font>
    <font>
      <sz val="11"/>
      <color rgb="FF5C5F60"/>
      <name val="Calibri"/>
      <family val="2"/>
    </font>
    <font>
      <b/>
      <sz val="11"/>
      <color rgb="FFFFFFFF"/>
      <name val="Calibri"/>
      <family val="2"/>
    </font>
    <font>
      <b/>
      <sz val="11"/>
      <color rgb="FF5C5F6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E5E5E5"/>
      </left>
      <right style="medium">
        <color rgb="FFFFFFFF"/>
      </right>
      <top style="medium">
        <color rgb="FFE5E5E5"/>
      </top>
      <bottom style="medium">
        <color rgb="FFFFFFFF"/>
      </bottom>
    </border>
    <border>
      <left style="medium">
        <color rgb="FFE5E5E5"/>
      </left>
      <right/>
      <top/>
      <bottom style="medium">
        <color rgb="FFE5E5E5"/>
      </bottom>
    </border>
    <border>
      <left style="medium">
        <color rgb="FFFFFFFF"/>
      </left>
      <right style="medium">
        <color rgb="FFFFFFFF"/>
      </right>
      <top style="medium">
        <color rgb="FFE5E5E5"/>
      </top>
      <bottom style="medium">
        <color rgb="FFFFFFFF"/>
      </bottom>
    </border>
    <border>
      <left style="medium">
        <color rgb="FFFFFFFF"/>
      </left>
      <right style="medium">
        <color rgb="FFE5E5E5"/>
      </right>
      <top style="medium">
        <color rgb="FFE5E5E5"/>
      </top>
      <bottom style="medium">
        <color rgb="FFFFFFFF"/>
      </bottom>
    </border>
    <border>
      <left style="medium">
        <color rgb="FFFFFFFF"/>
      </left>
      <right/>
      <top/>
      <bottom/>
    </border>
    <border>
      <left/>
      <right/>
      <top/>
      <bottom style="medium">
        <color rgb="FFE5E5E5"/>
      </bottom>
    </border>
    <border>
      <left/>
      <right style="medium">
        <color rgb="FFE5E5E5"/>
      </right>
      <top/>
      <bottom style="medium">
        <color rgb="FFE5E5E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164" fontId="0" fillId="19" borderId="10" xfId="62" applyNumberFormat="1" applyFont="1" applyFill="1" applyBorder="1" applyAlignment="1">
      <alignment/>
    </xf>
    <xf numFmtId="43" fontId="0" fillId="0" borderId="0" xfId="62" applyFont="1" applyBorder="1" applyAlignment="1">
      <alignment/>
    </xf>
    <xf numFmtId="43" fontId="0" fillId="0" borderId="10" xfId="62" applyFont="1" applyBorder="1" applyAlignment="1">
      <alignment/>
    </xf>
    <xf numFmtId="43" fontId="0" fillId="19" borderId="11" xfId="62" applyFont="1" applyFill="1" applyBorder="1" applyAlignment="1">
      <alignment/>
    </xf>
    <xf numFmtId="43" fontId="0" fillId="19" borderId="12" xfId="62" applyFont="1" applyFill="1" applyBorder="1" applyAlignment="1">
      <alignment/>
    </xf>
    <xf numFmtId="0" fontId="58" fillId="0" borderId="0" xfId="0" applyFont="1" applyAlignment="1">
      <alignment/>
    </xf>
    <xf numFmtId="0" fontId="58" fillId="19" borderId="13" xfId="0" applyFont="1" applyFill="1" applyBorder="1" applyAlignment="1">
      <alignment/>
    </xf>
    <xf numFmtId="0" fontId="58" fillId="19" borderId="0" xfId="0" applyFont="1" applyFill="1" applyAlignment="1">
      <alignment horizontal="center"/>
    </xf>
    <xf numFmtId="0" fontId="58" fillId="0" borderId="14" xfId="0" applyFont="1" applyBorder="1" applyAlignment="1">
      <alignment horizontal="center"/>
    </xf>
    <xf numFmtId="43" fontId="58" fillId="0" borderId="13" xfId="0" applyNumberFormat="1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33" borderId="17" xfId="0" applyFont="1" applyFill="1" applyBorder="1" applyAlignment="1">
      <alignment/>
    </xf>
    <xf numFmtId="166" fontId="0" fillId="0" borderId="13" xfId="62" applyNumberFormat="1" applyFont="1" applyBorder="1" applyAlignment="1">
      <alignment horizontal="center"/>
    </xf>
    <xf numFmtId="43" fontId="0" fillId="13" borderId="13" xfId="62" applyFont="1" applyFill="1" applyBorder="1" applyAlignment="1">
      <alignment/>
    </xf>
    <xf numFmtId="43" fontId="0" fillId="13" borderId="18" xfId="62" applyFont="1" applyFill="1" applyBorder="1" applyAlignment="1">
      <alignment/>
    </xf>
    <xf numFmtId="166" fontId="58" fillId="13" borderId="14" xfId="62" applyNumberFormat="1" applyFont="1" applyFill="1" applyBorder="1" applyAlignment="1">
      <alignment horizontal="center"/>
    </xf>
    <xf numFmtId="0" fontId="44" fillId="34" borderId="17" xfId="0" applyFont="1" applyFill="1" applyBorder="1" applyAlignment="1">
      <alignment/>
    </xf>
    <xf numFmtId="43" fontId="44" fillId="34" borderId="13" xfId="0" applyNumberFormat="1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58" fillId="33" borderId="15" xfId="0" applyFont="1" applyFill="1" applyBorder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19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19" borderId="12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19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0" borderId="15" xfId="0" applyBorder="1" applyAlignment="1">
      <alignment/>
    </xf>
    <xf numFmtId="166" fontId="0" fillId="13" borderId="18" xfId="0" applyNumberFormat="1" applyFill="1" applyBorder="1" applyAlignment="1">
      <alignment/>
    </xf>
    <xf numFmtId="43" fontId="0" fillId="13" borderId="12" xfId="0" applyNumberFormat="1" applyFill="1" applyBorder="1" applyAlignment="1">
      <alignment/>
    </xf>
    <xf numFmtId="43" fontId="0" fillId="13" borderId="13" xfId="0" applyNumberFormat="1" applyFill="1" applyBorder="1" applyAlignment="1">
      <alignment/>
    </xf>
    <xf numFmtId="165" fontId="0" fillId="13" borderId="13" xfId="0" applyNumberFormat="1" applyFill="1" applyBorder="1" applyAlignment="1">
      <alignment/>
    </xf>
    <xf numFmtId="167" fontId="0" fillId="13" borderId="13" xfId="0" applyNumberFormat="1" applyFill="1" applyBorder="1" applyAlignment="1">
      <alignment/>
    </xf>
    <xf numFmtId="0" fontId="0" fillId="13" borderId="2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4" fontId="0" fillId="36" borderId="0" xfId="0" applyNumberFormat="1" applyFill="1" applyAlignment="1">
      <alignment/>
    </xf>
    <xf numFmtId="14" fontId="1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33" borderId="0" xfId="0" applyFont="1" applyFill="1" applyAlignment="1">
      <alignment horizontal="center"/>
    </xf>
    <xf numFmtId="43" fontId="11" fillId="4" borderId="14" xfId="62" applyFont="1" applyFill="1" applyBorder="1" applyAlignment="1">
      <alignment horizontal="center"/>
    </xf>
    <xf numFmtId="171" fontId="11" fillId="0" borderId="14" xfId="62" applyNumberFormat="1" applyFont="1" applyBorder="1" applyAlignment="1">
      <alignment/>
    </xf>
    <xf numFmtId="173" fontId="11" fillId="0" borderId="14" xfId="62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14" fontId="12" fillId="2" borderId="21" xfId="0" applyNumberFormat="1" applyFont="1" applyFill="1" applyBorder="1" applyAlignment="1">
      <alignment horizontal="center"/>
    </xf>
    <xf numFmtId="14" fontId="12" fillId="2" borderId="23" xfId="0" applyNumberFormat="1" applyFont="1" applyFill="1" applyBorder="1" applyAlignment="1">
      <alignment horizontal="center"/>
    </xf>
    <xf numFmtId="172" fontId="11" fillId="33" borderId="0" xfId="0" applyNumberFormat="1" applyFont="1" applyFill="1" applyAlignment="1">
      <alignment/>
    </xf>
    <xf numFmtId="2" fontId="11" fillId="36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169" fontId="11" fillId="37" borderId="0" xfId="0" applyNumberFormat="1" applyFont="1" applyFill="1" applyAlignment="1">
      <alignment/>
    </xf>
    <xf numFmtId="14" fontId="12" fillId="2" borderId="22" xfId="0" applyNumberFormat="1" applyFont="1" applyFill="1" applyBorder="1" applyAlignment="1">
      <alignment horizontal="center"/>
    </xf>
    <xf numFmtId="165" fontId="11" fillId="37" borderId="14" xfId="0" applyNumberFormat="1" applyFont="1" applyFill="1" applyBorder="1" applyAlignment="1">
      <alignment/>
    </xf>
    <xf numFmtId="43" fontId="11" fillId="37" borderId="14" xfId="62" applyFont="1" applyFill="1" applyBorder="1" applyAlignment="1">
      <alignment/>
    </xf>
    <xf numFmtId="1" fontId="11" fillId="37" borderId="14" xfId="0" applyNumberFormat="1" applyFont="1" applyFill="1" applyBorder="1" applyAlignment="1">
      <alignment/>
    </xf>
    <xf numFmtId="14" fontId="12" fillId="0" borderId="14" xfId="0" applyNumberFormat="1" applyFont="1" applyBorder="1" applyAlignment="1">
      <alignment horizontal="center"/>
    </xf>
    <xf numFmtId="14" fontId="12" fillId="2" borderId="14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/>
    </xf>
    <xf numFmtId="165" fontId="11" fillId="36" borderId="0" xfId="0" applyNumberFormat="1" applyFont="1" applyFill="1" applyAlignment="1">
      <alignment/>
    </xf>
    <xf numFmtId="173" fontId="11" fillId="33" borderId="14" xfId="62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1" fontId="11" fillId="33" borderId="0" xfId="0" applyNumberFormat="1" applyFont="1" applyFill="1" applyAlignment="1">
      <alignment/>
    </xf>
    <xf numFmtId="14" fontId="11" fillId="36" borderId="0" xfId="0" applyNumberFormat="1" applyFont="1" applyFill="1" applyAlignment="1">
      <alignment/>
    </xf>
    <xf numFmtId="168" fontId="11" fillId="33" borderId="0" xfId="0" applyNumberFormat="1" applyFont="1" applyFill="1" applyAlignment="1">
      <alignment/>
    </xf>
    <xf numFmtId="0" fontId="2" fillId="38" borderId="24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39" borderId="0" xfId="0" applyFill="1" applyAlignment="1">
      <alignment horizontal="center"/>
    </xf>
    <xf numFmtId="2" fontId="0" fillId="39" borderId="27" xfId="0" applyNumberFormat="1" applyFill="1" applyBorder="1" applyAlignment="1">
      <alignment horizontal="center"/>
    </xf>
    <xf numFmtId="0" fontId="0" fillId="40" borderId="26" xfId="0" applyFill="1" applyBorder="1" applyAlignment="1">
      <alignment/>
    </xf>
    <xf numFmtId="0" fontId="0" fillId="40" borderId="0" xfId="0" applyFill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7" fillId="0" borderId="0" xfId="44" applyFont="1" applyAlignment="1" applyProtection="1">
      <alignment/>
      <protection/>
    </xf>
    <xf numFmtId="0" fontId="0" fillId="40" borderId="31" xfId="0" applyFill="1" applyBorder="1" applyAlignment="1">
      <alignment/>
    </xf>
    <xf numFmtId="0" fontId="0" fillId="40" borderId="3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58" fillId="33" borderId="0" xfId="0" applyFont="1" applyFill="1" applyAlignment="1">
      <alignment horizontal="center"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41" borderId="0" xfId="0" applyFill="1" applyAlignment="1">
      <alignment horizontal="center"/>
    </xf>
    <xf numFmtId="0" fontId="5" fillId="0" borderId="0" xfId="44" applyAlignment="1" applyProtection="1">
      <alignment/>
      <protection/>
    </xf>
    <xf numFmtId="44" fontId="12" fillId="33" borderId="0" xfId="46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62" applyFont="1" applyAlignment="1">
      <alignment/>
    </xf>
    <xf numFmtId="0" fontId="0" fillId="0" borderId="0" xfId="0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14" fontId="61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62" fillId="0" borderId="0" xfId="0" applyNumberFormat="1" applyFont="1" applyAlignment="1">
      <alignment horizontal="right"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/>
    </xf>
    <xf numFmtId="0" fontId="58" fillId="33" borderId="28" xfId="0" applyFont="1" applyFill="1" applyBorder="1" applyAlignment="1">
      <alignment/>
    </xf>
    <xf numFmtId="166" fontId="0" fillId="0" borderId="0" xfId="6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58" fillId="33" borderId="28" xfId="0" applyNumberFormat="1" applyFont="1" applyFill="1" applyBorder="1" applyAlignment="1">
      <alignment/>
    </xf>
    <xf numFmtId="177" fontId="0" fillId="33" borderId="28" xfId="0" applyNumberFormat="1" applyFill="1" applyBorder="1" applyAlignment="1">
      <alignment/>
    </xf>
    <xf numFmtId="164" fontId="0" fillId="0" borderId="0" xfId="62" applyNumberFormat="1" applyFont="1" applyAlignment="1">
      <alignment/>
    </xf>
    <xf numFmtId="175" fontId="0" fillId="0" borderId="0" xfId="62" applyNumberFormat="1" applyFont="1" applyAlignment="1">
      <alignment/>
    </xf>
    <xf numFmtId="0" fontId="58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64" fontId="0" fillId="0" borderId="0" xfId="62" applyNumberFormat="1" applyFont="1" applyBorder="1" applyAlignment="1">
      <alignment/>
    </xf>
    <xf numFmtId="169" fontId="58" fillId="19" borderId="13" xfId="0" applyNumberFormat="1" applyFont="1" applyFill="1" applyBorder="1" applyAlignment="1">
      <alignment/>
    </xf>
    <xf numFmtId="164" fontId="58" fillId="0" borderId="13" xfId="0" applyNumberFormat="1" applyFont="1" applyBorder="1" applyAlignment="1">
      <alignment/>
    </xf>
    <xf numFmtId="43" fontId="0" fillId="19" borderId="13" xfId="62" applyFont="1" applyFill="1" applyBorder="1" applyAlignment="1">
      <alignment horizontal="center"/>
    </xf>
    <xf numFmtId="0" fontId="63" fillId="42" borderId="33" xfId="0" applyFont="1" applyFill="1" applyBorder="1" applyAlignment="1">
      <alignment horizontal="center" vertical="center" wrapText="1"/>
    </xf>
    <xf numFmtId="0" fontId="64" fillId="43" borderId="34" xfId="0" applyFont="1" applyFill="1" applyBorder="1" applyAlignment="1">
      <alignment horizontal="center" vertical="top" wrapText="1"/>
    </xf>
    <xf numFmtId="0" fontId="65" fillId="43" borderId="34" xfId="0" applyFont="1" applyFill="1" applyBorder="1" applyAlignment="1">
      <alignment vertical="top" wrapText="1"/>
    </xf>
    <xf numFmtId="43" fontId="0" fillId="0" borderId="0" xfId="62" applyFont="1" applyAlignment="1">
      <alignment/>
    </xf>
    <xf numFmtId="175" fontId="0" fillId="0" borderId="0" xfId="62" applyNumberFormat="1" applyFont="1" applyAlignment="1">
      <alignment/>
    </xf>
    <xf numFmtId="14" fontId="58" fillId="0" borderId="0" xfId="0" applyNumberFormat="1" applyFont="1" applyAlignment="1">
      <alignment/>
    </xf>
    <xf numFmtId="0" fontId="66" fillId="42" borderId="35" xfId="0" applyFont="1" applyFill="1" applyBorder="1" applyAlignment="1">
      <alignment horizontal="center" vertical="center" wrapText="1"/>
    </xf>
    <xf numFmtId="0" fontId="66" fillId="42" borderId="33" xfId="0" applyFont="1" applyFill="1" applyBorder="1" applyAlignment="1">
      <alignment horizontal="center" vertical="center" wrapText="1"/>
    </xf>
    <xf numFmtId="0" fontId="66" fillId="42" borderId="36" xfId="0" applyFont="1" applyFill="1" applyBorder="1" applyAlignment="1">
      <alignment horizontal="center" vertical="center" wrapText="1"/>
    </xf>
    <xf numFmtId="0" fontId="66" fillId="42" borderId="37" xfId="0" applyFont="1" applyFill="1" applyBorder="1" applyAlignment="1">
      <alignment horizontal="center" vertical="center" wrapText="1"/>
    </xf>
    <xf numFmtId="14" fontId="67" fillId="43" borderId="38" xfId="0" applyNumberFormat="1" applyFont="1" applyFill="1" applyBorder="1" applyAlignment="1">
      <alignment vertical="top"/>
    </xf>
    <xf numFmtId="3" fontId="67" fillId="43" borderId="34" xfId="0" applyNumberFormat="1" applyFont="1" applyFill="1" applyBorder="1" applyAlignment="1">
      <alignment horizontal="right" vertical="top" wrapText="1"/>
    </xf>
    <xf numFmtId="3" fontId="67" fillId="43" borderId="38" xfId="0" applyNumberFormat="1" applyFont="1" applyFill="1" applyBorder="1" applyAlignment="1">
      <alignment horizontal="right" vertical="top" wrapText="1"/>
    </xf>
    <xf numFmtId="4" fontId="67" fillId="43" borderId="39" xfId="0" applyNumberFormat="1" applyFont="1" applyFill="1" applyBorder="1" applyAlignment="1">
      <alignment horizontal="right" vertical="top" wrapText="1"/>
    </xf>
    <xf numFmtId="0" fontId="67" fillId="43" borderId="38" xfId="0" applyFont="1" applyFill="1" applyBorder="1" applyAlignment="1">
      <alignment horizontal="right" vertical="top" wrapText="1"/>
    </xf>
    <xf numFmtId="166" fontId="58" fillId="0" borderId="0" xfId="62" applyNumberFormat="1" applyFont="1" applyAlignment="1">
      <alignment/>
    </xf>
    <xf numFmtId="0" fontId="67" fillId="43" borderId="38" xfId="0" applyFont="1" applyFill="1" applyBorder="1" applyAlignment="1">
      <alignment vertical="top" wrapText="1"/>
    </xf>
    <xf numFmtId="0" fontId="67" fillId="43" borderId="39" xfId="0" applyFont="1" applyFill="1" applyBorder="1" applyAlignment="1">
      <alignment vertical="top" wrapText="1"/>
    </xf>
    <xf numFmtId="0" fontId="67" fillId="43" borderId="34" xfId="0" applyFont="1" applyFill="1" applyBorder="1" applyAlignment="1">
      <alignment horizontal="right" vertical="top" wrapText="1"/>
    </xf>
    <xf numFmtId="178" fontId="0" fillId="0" borderId="0" xfId="0" applyNumberFormat="1" applyAlignment="1">
      <alignment/>
    </xf>
    <xf numFmtId="175" fontId="0" fillId="33" borderId="14" xfId="62" applyNumberFormat="1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955"/>
          <c:w val="0.988"/>
          <c:h val="0.90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Exercicios!$M$125</c:f>
              <c:strCache>
                <c:ptCount val="1"/>
                <c:pt idx="0">
                  <c:v>Preço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Exercicios!$L$126:$L$687</c:f>
              <c:strCache/>
            </c:strRef>
          </c:xVal>
          <c:yVal>
            <c:numRef>
              <c:f>Exercicios!$M$126:$M$687</c:f>
              <c:numCache/>
            </c:numRef>
          </c:yVal>
          <c:smooth val="1"/>
        </c:ser>
        <c:axId val="50948782"/>
        <c:axId val="55885855"/>
      </c:scatterChart>
      <c:val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5855"/>
        <c:crosses val="autoZero"/>
        <c:crossBetween val="midCat"/>
        <c:dispUnits/>
      </c:val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8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1975"/>
          <c:w val="0.9755"/>
          <c:h val="0.88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Planilha1!$M$3:$M$40</c:f>
              <c:numCache/>
            </c:numRef>
          </c:xVal>
          <c:yVal>
            <c:numRef>
              <c:f>Planilha1!$N$3:$N$40</c:f>
              <c:numCache/>
            </c:numRef>
          </c:yVal>
          <c:smooth val="1"/>
        </c:ser>
        <c:axId val="33210648"/>
        <c:axId val="30460377"/>
      </c:scatterChart>
      <c:valAx>
        <c:axId val="332106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60377"/>
        <c:crosses val="autoZero"/>
        <c:crossBetween val="midCat"/>
        <c:dispUnits/>
      </c:valAx>
      <c:valAx>
        <c:axId val="30460377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2106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Spline Example</a:t>
            </a:r>
          </a:p>
        </c:rich>
      </c:tx>
      <c:layout>
        <c:manualLayout>
          <c:xMode val="factor"/>
          <c:yMode val="factor"/>
          <c:x val="-0.016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093"/>
          <c:w val="0.80225"/>
          <c:h val="0.86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Spline!$D$5</c:f>
              <c:strCache>
                <c:ptCount val="1"/>
                <c:pt idx="0">
                  <c:v>Spline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Spline!$C$6:$C$27</c:f>
              <c:numCache/>
            </c:numRef>
          </c:xVal>
          <c:yVal>
            <c:numRef>
              <c:f>Spline!$D$6:$D$26</c:f>
              <c:numCache/>
            </c:numRef>
          </c:yVal>
          <c:smooth val="0"/>
        </c:ser>
        <c:ser>
          <c:idx val="0"/>
          <c:order val="1"/>
          <c:tx>
            <c:strRef>
              <c:f>Spline!$B$5</c:f>
              <c:strCache>
                <c:ptCount val="1"/>
                <c:pt idx="0">
                  <c:v>Dados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000000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Spline!$A$6:$A$10</c:f>
              <c:numCache/>
            </c:numRef>
          </c:xVal>
          <c:yVal>
            <c:numRef>
              <c:f>Spline!$B$6:$B$10</c:f>
              <c:numCache/>
            </c:numRef>
          </c:yVal>
          <c:smooth val="0"/>
        </c:ser>
        <c:axId val="5707938"/>
        <c:axId val="51371443"/>
      </c:scatterChart>
      <c:valAx>
        <c:axId val="570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Input</a:t>
                </a:r>
              </a:p>
            </c:rich>
          </c:tx>
          <c:layout>
            <c:manualLayout>
              <c:xMode val="factor"/>
              <c:yMode val="factor"/>
              <c:x val="0.014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autoZero"/>
        <c:crossBetween val="midCat"/>
        <c:dispUnits/>
      </c:valAx>
      <c:valAx>
        <c:axId val="5137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Output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5975"/>
          <c:w val="0.170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TAXA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7425"/>
          <c:w val="0.9715"/>
          <c:h val="0.8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'Exercício 10'!$C$5:$C$13</c:f>
              <c:strCache/>
            </c:strRef>
          </c:xVal>
          <c:yVal>
            <c:numRef>
              <c:f>'Exercício 10'!$D$5:$D$13</c:f>
              <c:numCache/>
            </c:numRef>
          </c:yVal>
          <c:smooth val="1"/>
        </c:ser>
        <c:axId val="59689804"/>
        <c:axId val="337325"/>
      </c:scatterChart>
      <c:valAx>
        <c:axId val="596898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/m/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325"/>
        <c:crosses val="autoZero"/>
        <c:crossBetween val="midCat"/>
        <c:dispUnits/>
        <c:majorUnit val="1000"/>
      </c:valAx>
      <c:valAx>
        <c:axId val="337325"/>
        <c:scaling>
          <c:orientation val="minMax"/>
          <c:max val="9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898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4825"/>
          <c:w val="0.98225"/>
          <c:h val="0.9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'Exercício 10'!$L$4</c:f>
              <c:strCache>
                <c:ptCount val="1"/>
                <c:pt idx="0">
                  <c:v>TAXA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'Exercício 10'!$K$5:$K$18</c:f>
              <c:strCache/>
            </c:strRef>
          </c:xVal>
          <c:yVal>
            <c:numRef>
              <c:f>'Exercício 10'!$L$5:$L$18</c:f>
              <c:numCache/>
            </c:numRef>
          </c:yVal>
          <c:smooth val="1"/>
        </c:ser>
        <c:axId val="3035926"/>
        <c:axId val="27323335"/>
      </c:scatterChart>
      <c:valAx>
        <c:axId val="3035926"/>
        <c:scaling>
          <c:orientation val="minMax"/>
          <c:min val="42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323335"/>
        <c:crosses val="autoZero"/>
        <c:crossBetween val="midCat"/>
        <c:dispUnits/>
        <c:majorUnit val="1000"/>
      </c:val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59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75"/>
          <c:y val="0.11975"/>
          <c:w val="0.9795"/>
          <c:h val="0.8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'Exercício 10'!$I$41</c:f>
              <c:strCache>
                <c:ptCount val="1"/>
                <c:pt idx="0">
                  <c:v>INFLAÇÃO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'Exercício 10'!$H$42:$H$48</c:f>
              <c:strCache/>
            </c:strRef>
          </c:xVal>
          <c:yVal>
            <c:numRef>
              <c:f>'Exercício 10'!$I$42:$I$48</c:f>
              <c:numCache/>
            </c:numRef>
          </c:yVal>
          <c:smooth val="1"/>
        </c:ser>
        <c:axId val="44583424"/>
        <c:axId val="65706497"/>
      </c:scatterChart>
      <c:valAx>
        <c:axId val="445834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06497"/>
        <c:crosses val="autoZero"/>
        <c:crossBetween val="midCat"/>
        <c:dispUnits/>
      </c:val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834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75"/>
          <c:y val="0.11975"/>
          <c:w val="0.9795"/>
          <c:h val="0.88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xVal>
            <c:numRef>
              <c:f>'Exercício 10'!$K$60:$K$73</c:f>
              <c:numCache/>
            </c:numRef>
          </c:xVal>
          <c:yVal>
            <c:numRef>
              <c:f>'Exercício 10'!$L$60:$L$73</c:f>
              <c:numCache/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  <c:max val="2023"/>
          <c:min val="201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26011"/>
        <c:crosses val="autoZero"/>
        <c:crossBetween val="midCat"/>
        <c:dispUnits/>
      </c:valAx>
      <c:valAx>
        <c:axId val="20626011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875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3.com.br/pt_br/market-data-e-indices/servicos-de-dados/market-data/cotacoes/?symbol=DI1V2022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s://www.b3.com.br/pt_br/market-data-e-indices/servicos-de-dados/market-data/cotacoes/?symbol=DI1X2022" TargetMode="External" /><Relationship Id="rId4" Type="http://schemas.openxmlformats.org/officeDocument/2006/relationships/hyperlink" Target="https://www.b3.com.br/pt_br/market-data-e-indices/servicos-de-dados/market-data/cotacoes/?symbol=DI1X2022" TargetMode="External" /><Relationship Id="rId5" Type="http://schemas.openxmlformats.org/officeDocument/2006/relationships/hyperlink" Target="https://www.b3.com.br/pt_br/market-data-e-indices/servicos-de-dados/market-data/cotacoes/?symbol=DI1Z2022" TargetMode="External" /><Relationship Id="rId6" Type="http://schemas.openxmlformats.org/officeDocument/2006/relationships/hyperlink" Target="https://www.b3.com.br/pt_br/market-data-e-indices/servicos-de-dados/market-data/cotacoes/?symbol=DI1Z2022" TargetMode="External" /><Relationship Id="rId7" Type="http://schemas.openxmlformats.org/officeDocument/2006/relationships/hyperlink" Target="https://www.b3.com.br/pt_br/market-data-e-indices/servicos-de-dados/market-data/cotacoes/?symbol=DI1F2023" TargetMode="External" /><Relationship Id="rId8" Type="http://schemas.openxmlformats.org/officeDocument/2006/relationships/hyperlink" Target="https://www.b3.com.br/pt_br/market-data-e-indices/servicos-de-dados/market-data/cotacoes/?symbol=DI1F2023" TargetMode="External" /><Relationship Id="rId9" Type="http://schemas.openxmlformats.org/officeDocument/2006/relationships/hyperlink" Target="https://www.b3.com.br/pt_br/market-data-e-indices/servicos-de-dados/market-data/cotacoes/?symbol=DI1J2023" TargetMode="External" /><Relationship Id="rId10" Type="http://schemas.openxmlformats.org/officeDocument/2006/relationships/hyperlink" Target="https://www.b3.com.br/pt_br/market-data-e-indices/servicos-de-dados/market-data/cotacoes/?symbol=DI1J2023" TargetMode="External" /><Relationship Id="rId11" Type="http://schemas.openxmlformats.org/officeDocument/2006/relationships/hyperlink" Target="https://www.b3.com.br/pt_br/market-data-e-indices/servicos-de-dados/market-data/cotacoes/?symbol=DI1N2023" TargetMode="External" /><Relationship Id="rId12" Type="http://schemas.openxmlformats.org/officeDocument/2006/relationships/hyperlink" Target="https://www.b3.com.br/pt_br/market-data-e-indices/servicos-de-dados/market-data/cotacoes/?symbol=DI1N2023" TargetMode="External" /><Relationship Id="rId13" Type="http://schemas.openxmlformats.org/officeDocument/2006/relationships/hyperlink" Target="https://www.b3.com.br/pt_br/market-data-e-indices/servicos-de-dados/market-data/cotacoes/?symbol=DI1Q2023" TargetMode="External" /><Relationship Id="rId14" Type="http://schemas.openxmlformats.org/officeDocument/2006/relationships/hyperlink" Target="https://www.b3.com.br/pt_br/market-data-e-indices/servicos-de-dados/market-data/cotacoes/?symbol=DI1Q2023" TargetMode="External" /><Relationship Id="rId15" Type="http://schemas.openxmlformats.org/officeDocument/2006/relationships/hyperlink" Target="https://www.b3.com.br/pt_br/market-data-e-indices/servicos-de-dados/market-data/cotacoes/?symbol=DI1V2023" TargetMode="External" /><Relationship Id="rId16" Type="http://schemas.openxmlformats.org/officeDocument/2006/relationships/hyperlink" Target="https://www.b3.com.br/pt_br/market-data-e-indices/servicos-de-dados/market-data/cotacoes/?symbol=DI1V2023" TargetMode="External" /><Relationship Id="rId17" Type="http://schemas.openxmlformats.org/officeDocument/2006/relationships/hyperlink" Target="https://www.b3.com.br/pt_br/market-data-e-indices/servicos-de-dados/market-data/cotacoes/?symbol=DI1F2024" TargetMode="External" /><Relationship Id="rId18" Type="http://schemas.openxmlformats.org/officeDocument/2006/relationships/hyperlink" Target="https://www.b3.com.br/pt_br/market-data-e-indices/servicos-de-dados/market-data/cotacoes/?symbol=DI1F2024" TargetMode="External" /><Relationship Id="rId19" Type="http://schemas.openxmlformats.org/officeDocument/2006/relationships/hyperlink" Target="https://www.b3.com.br/pt_br/market-data-e-indices/servicos-de-dados/market-data/cotacoes/?symbol=DI1J2024" TargetMode="External" /><Relationship Id="rId20" Type="http://schemas.openxmlformats.org/officeDocument/2006/relationships/hyperlink" Target="https://www.b3.com.br/pt_br/market-data-e-indices/servicos-de-dados/market-data/cotacoes/?symbol=DI1J2024" TargetMode="External" /><Relationship Id="rId21" Type="http://schemas.openxmlformats.org/officeDocument/2006/relationships/hyperlink" Target="https://www.b3.com.br/pt_br/market-data-e-indices/servicos-de-dados/market-data/cotacoes/?symbol=DI1N2024" TargetMode="External" /><Relationship Id="rId22" Type="http://schemas.openxmlformats.org/officeDocument/2006/relationships/hyperlink" Target="https://www.b3.com.br/pt_br/market-data-e-indices/servicos-de-dados/market-data/cotacoes/?symbol=DI1N2024" TargetMode="External" /><Relationship Id="rId23" Type="http://schemas.openxmlformats.org/officeDocument/2006/relationships/hyperlink" Target="https://www.b3.com.br/pt_br/market-data-e-indices/servicos-de-dados/market-data/cotacoes/?symbol=DI1V2024" TargetMode="External" /><Relationship Id="rId24" Type="http://schemas.openxmlformats.org/officeDocument/2006/relationships/hyperlink" Target="https://www.b3.com.br/pt_br/market-data-e-indices/servicos-de-dados/market-data/cotacoes/?symbol=DI1V2024" TargetMode="External" /><Relationship Id="rId25" Type="http://schemas.openxmlformats.org/officeDocument/2006/relationships/hyperlink" Target="https://www.b3.com.br/pt_br/market-data-e-indices/servicos-de-dados/market-data/cotacoes/?symbol=DI1F2025" TargetMode="External" /><Relationship Id="rId26" Type="http://schemas.openxmlformats.org/officeDocument/2006/relationships/hyperlink" Target="https://www.b3.com.br/pt_br/market-data-e-indices/servicos-de-dados/market-data/cotacoes/?symbol=DI1F2025" TargetMode="External" /><Relationship Id="rId27" Type="http://schemas.openxmlformats.org/officeDocument/2006/relationships/hyperlink" Target="https://www.b3.com.br/pt_br/market-data-e-indices/servicos-de-dados/market-data/cotacoes/?symbol=DI1J2025" TargetMode="External" /><Relationship Id="rId28" Type="http://schemas.openxmlformats.org/officeDocument/2006/relationships/hyperlink" Target="https://www.b3.com.br/pt_br/market-data-e-indices/servicos-de-dados/market-data/cotacoes/?symbol=DI1J2025" TargetMode="External" /><Relationship Id="rId29" Type="http://schemas.openxmlformats.org/officeDocument/2006/relationships/hyperlink" Target="https://www.b3.com.br/pt_br/market-data-e-indices/servicos-de-dados/market-data/cotacoes/?symbol=DI1N2025" TargetMode="External" /><Relationship Id="rId30" Type="http://schemas.openxmlformats.org/officeDocument/2006/relationships/hyperlink" Target="https://www.b3.com.br/pt_br/market-data-e-indices/servicos-de-dados/market-data/cotacoes/?symbol=DI1N2025" TargetMode="External" /><Relationship Id="rId31" Type="http://schemas.openxmlformats.org/officeDocument/2006/relationships/hyperlink" Target="https://www.b3.com.br/pt_br/market-data-e-indices/servicos-de-dados/market-data/cotacoes/?symbol=DI1V2025" TargetMode="External" /><Relationship Id="rId32" Type="http://schemas.openxmlformats.org/officeDocument/2006/relationships/hyperlink" Target="https://www.b3.com.br/pt_br/market-data-e-indices/servicos-de-dados/market-data/cotacoes/?symbol=DI1V2025" TargetMode="External" /><Relationship Id="rId33" Type="http://schemas.openxmlformats.org/officeDocument/2006/relationships/hyperlink" Target="https://www.b3.com.br/pt_br/market-data-e-indices/servicos-de-dados/market-data/cotacoes/?symbol=DI1F2026" TargetMode="External" /><Relationship Id="rId34" Type="http://schemas.openxmlformats.org/officeDocument/2006/relationships/hyperlink" Target="https://www.b3.com.br/pt_br/market-data-e-indices/servicos-de-dados/market-data/cotacoes/?symbol=DI1F2026" TargetMode="External" /><Relationship Id="rId35" Type="http://schemas.openxmlformats.org/officeDocument/2006/relationships/hyperlink" Target="https://www.b3.com.br/pt_br/market-data-e-indices/servicos-de-dados/market-data/cotacoes/?symbol=DI1J2026" TargetMode="External" /><Relationship Id="rId36" Type="http://schemas.openxmlformats.org/officeDocument/2006/relationships/hyperlink" Target="https://www.b3.com.br/pt_br/market-data-e-indices/servicos-de-dados/market-data/cotacoes/?symbol=DI1J2026" TargetMode="External" /><Relationship Id="rId37" Type="http://schemas.openxmlformats.org/officeDocument/2006/relationships/hyperlink" Target="https://www.b3.com.br/pt_br/market-data-e-indices/servicos-de-dados/market-data/cotacoes/?symbol=DI1N2026" TargetMode="External" /><Relationship Id="rId38" Type="http://schemas.openxmlformats.org/officeDocument/2006/relationships/hyperlink" Target="https://www.b3.com.br/pt_br/market-data-e-indices/servicos-de-dados/market-data/cotacoes/?symbol=DI1N2026" TargetMode="External" /><Relationship Id="rId39" Type="http://schemas.openxmlformats.org/officeDocument/2006/relationships/hyperlink" Target="https://www.b3.com.br/pt_br/market-data-e-indices/servicos-de-dados/market-data/cotacoes/?symbol=DI1V2026" TargetMode="External" /><Relationship Id="rId40" Type="http://schemas.openxmlformats.org/officeDocument/2006/relationships/hyperlink" Target="https://www.b3.com.br/pt_br/market-data-e-indices/servicos-de-dados/market-data/cotacoes/?symbol=DI1V2026" TargetMode="External" /><Relationship Id="rId41" Type="http://schemas.openxmlformats.org/officeDocument/2006/relationships/hyperlink" Target="https://www.b3.com.br/pt_br/market-data-e-indices/servicos-de-dados/market-data/cotacoes/?symbol=DI1F2027" TargetMode="External" /><Relationship Id="rId42" Type="http://schemas.openxmlformats.org/officeDocument/2006/relationships/hyperlink" Target="https://www.b3.com.br/pt_br/market-data-e-indices/servicos-de-dados/market-data/cotacoes/?symbol=DI1F2027" TargetMode="External" /><Relationship Id="rId43" Type="http://schemas.openxmlformats.org/officeDocument/2006/relationships/hyperlink" Target="https://www.b3.com.br/pt_br/market-data-e-indices/servicos-de-dados/market-data/cotacoes/?symbol=DI1N2027" TargetMode="External" /><Relationship Id="rId44" Type="http://schemas.openxmlformats.org/officeDocument/2006/relationships/hyperlink" Target="https://www.b3.com.br/pt_br/market-data-e-indices/servicos-de-dados/market-data/cotacoes/?symbol=DI1N2027" TargetMode="External" /><Relationship Id="rId45" Type="http://schemas.openxmlformats.org/officeDocument/2006/relationships/hyperlink" Target="https://www.b3.com.br/pt_br/market-data-e-indices/servicos-de-dados/market-data/cotacoes/?symbol=DI1F2028" TargetMode="External" /><Relationship Id="rId46" Type="http://schemas.openxmlformats.org/officeDocument/2006/relationships/hyperlink" Target="https://www.b3.com.br/pt_br/market-data-e-indices/servicos-de-dados/market-data/cotacoes/?symbol=DI1F2028" TargetMode="External" /><Relationship Id="rId47" Type="http://schemas.openxmlformats.org/officeDocument/2006/relationships/hyperlink" Target="https://www.b3.com.br/pt_br/market-data-e-indices/servicos-de-dados/market-data/cotacoes/?symbol=DI1F2029" TargetMode="External" /><Relationship Id="rId48" Type="http://schemas.openxmlformats.org/officeDocument/2006/relationships/hyperlink" Target="https://www.b3.com.br/pt_br/market-data-e-indices/servicos-de-dados/market-data/cotacoes/?symbol=DI1F2029" TargetMode="External" /><Relationship Id="rId49" Type="http://schemas.openxmlformats.org/officeDocument/2006/relationships/hyperlink" Target="https://www.b3.com.br/pt_br/market-data-e-indices/servicos-de-dados/market-data/cotacoes/?symbol=DI1F2030" TargetMode="External" /><Relationship Id="rId50" Type="http://schemas.openxmlformats.org/officeDocument/2006/relationships/hyperlink" Target="https://www.b3.com.br/pt_br/market-data-e-indices/servicos-de-dados/market-data/cotacoes/?symbol=DI1F2030" TargetMode="External" /><Relationship Id="rId51" Type="http://schemas.openxmlformats.org/officeDocument/2006/relationships/hyperlink" Target="https://www.b3.com.br/pt_br/market-data-e-indices/servicos-de-dados/market-data/cotacoes/?symbol=DI1F2031" TargetMode="External" /><Relationship Id="rId52" Type="http://schemas.openxmlformats.org/officeDocument/2006/relationships/hyperlink" Target="https://www.b3.com.br/pt_br/market-data-e-indices/servicos-de-dados/market-data/cotacoes/?symbol=DI1F2031" TargetMode="External" /><Relationship Id="rId53" Type="http://schemas.openxmlformats.org/officeDocument/2006/relationships/hyperlink" Target="https://www.b3.com.br/pt_br/market-data-e-indices/servicos-de-dados/market-data/cotacoes/?symbol=DI1F2032" TargetMode="External" /><Relationship Id="rId54" Type="http://schemas.openxmlformats.org/officeDocument/2006/relationships/hyperlink" Target="https://www.b3.com.br/pt_br/market-data-e-indices/servicos-de-dados/market-data/cotacoes/?symbol=DI1F2032" TargetMode="External" /><Relationship Id="rId55" Type="http://schemas.openxmlformats.org/officeDocument/2006/relationships/hyperlink" Target="https://www.b3.com.br/pt_br/market-data-e-indices/servicos-de-dados/market-data/cotacoes/?symbol=DI1F2033" TargetMode="External" /><Relationship Id="rId56" Type="http://schemas.openxmlformats.org/officeDocument/2006/relationships/hyperlink" Target="https://www.b3.com.br/pt_br/market-data-e-indices/servicos-de-dados/market-data/cotacoes/?symbol=DI1F2033" TargetMode="External" /><Relationship Id="rId57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86</xdr:row>
      <xdr:rowOff>0</xdr:rowOff>
    </xdr:from>
    <xdr:to>
      <xdr:col>2</xdr:col>
      <xdr:colOff>0</xdr:colOff>
      <xdr:row>88</xdr:row>
      <xdr:rowOff>47625</xdr:rowOff>
    </xdr:to>
    <xdr:sp>
      <xdr:nvSpPr>
        <xdr:cNvPr id="1" name="Conector de seta reta 2"/>
        <xdr:cNvSpPr>
          <a:spLocks/>
        </xdr:cNvSpPr>
      </xdr:nvSpPr>
      <xdr:spPr>
        <a:xfrm>
          <a:off x="1200150" y="15582900"/>
          <a:ext cx="0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9525</xdr:rowOff>
    </xdr:from>
    <xdr:to>
      <xdr:col>5</xdr:col>
      <xdr:colOff>19050</xdr:colOff>
      <xdr:row>86</xdr:row>
      <xdr:rowOff>9525</xdr:rowOff>
    </xdr:to>
    <xdr:sp>
      <xdr:nvSpPr>
        <xdr:cNvPr id="2" name="Conector reto 6"/>
        <xdr:cNvSpPr>
          <a:spLocks/>
        </xdr:cNvSpPr>
      </xdr:nvSpPr>
      <xdr:spPr>
        <a:xfrm>
          <a:off x="1200150" y="15592425"/>
          <a:ext cx="2466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9525</xdr:rowOff>
    </xdr:from>
    <xdr:to>
      <xdr:col>5</xdr:col>
      <xdr:colOff>9525</xdr:colOff>
      <xdr:row>86</xdr:row>
      <xdr:rowOff>9525</xdr:rowOff>
    </xdr:to>
    <xdr:sp>
      <xdr:nvSpPr>
        <xdr:cNvPr id="3" name="Conector de seta reta 8"/>
        <xdr:cNvSpPr>
          <a:spLocks/>
        </xdr:cNvSpPr>
      </xdr:nvSpPr>
      <xdr:spPr>
        <a:xfrm flipH="1" flipV="1">
          <a:off x="3648075" y="15020925"/>
          <a:ext cx="9525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85</xdr:row>
      <xdr:rowOff>85725</xdr:rowOff>
    </xdr:from>
    <xdr:to>
      <xdr:col>3</xdr:col>
      <xdr:colOff>523875</xdr:colOff>
      <xdr:row>85</xdr:row>
      <xdr:rowOff>85725</xdr:rowOff>
    </xdr:to>
    <xdr:sp>
      <xdr:nvSpPr>
        <xdr:cNvPr id="4" name="Conector de seta reta 10"/>
        <xdr:cNvSpPr>
          <a:spLocks/>
        </xdr:cNvSpPr>
      </xdr:nvSpPr>
      <xdr:spPr>
        <a:xfrm flipV="1">
          <a:off x="1657350" y="15478125"/>
          <a:ext cx="6762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95250</xdr:rowOff>
    </xdr:from>
    <xdr:to>
      <xdr:col>9</xdr:col>
      <xdr:colOff>0</xdr:colOff>
      <xdr:row>94</xdr:row>
      <xdr:rowOff>95250</xdr:rowOff>
    </xdr:to>
    <xdr:sp>
      <xdr:nvSpPr>
        <xdr:cNvPr id="5" name="Conector reto 14"/>
        <xdr:cNvSpPr>
          <a:spLocks/>
        </xdr:cNvSpPr>
      </xdr:nvSpPr>
      <xdr:spPr>
        <a:xfrm>
          <a:off x="6505575" y="17068800"/>
          <a:ext cx="704850" cy="0"/>
        </a:xfrm>
        <a:prstGeom prst="line">
          <a:avLst/>
        </a:prstGeom>
        <a:noFill/>
        <a:ln w="25400" cmpd="sng">
          <a:solidFill>
            <a:srgbClr val="00B05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85725</xdr:rowOff>
    </xdr:from>
    <xdr:to>
      <xdr:col>10</xdr:col>
      <xdr:colOff>28575</xdr:colOff>
      <xdr:row>96</xdr:row>
      <xdr:rowOff>85725</xdr:rowOff>
    </xdr:to>
    <xdr:sp>
      <xdr:nvSpPr>
        <xdr:cNvPr id="6" name="Conector reto 18"/>
        <xdr:cNvSpPr>
          <a:spLocks/>
        </xdr:cNvSpPr>
      </xdr:nvSpPr>
      <xdr:spPr>
        <a:xfrm>
          <a:off x="6505575" y="17440275"/>
          <a:ext cx="1685925" cy="0"/>
        </a:xfrm>
        <a:prstGeom prst="line">
          <a:avLst/>
        </a:prstGeom>
        <a:noFill/>
        <a:ln w="25400" cmpd="sng">
          <a:solidFill>
            <a:srgbClr val="4A7EBB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98</xdr:row>
      <xdr:rowOff>95250</xdr:rowOff>
    </xdr:from>
    <xdr:to>
      <xdr:col>10</xdr:col>
      <xdr:colOff>9525</xdr:colOff>
      <xdr:row>98</xdr:row>
      <xdr:rowOff>95250</xdr:rowOff>
    </xdr:to>
    <xdr:sp>
      <xdr:nvSpPr>
        <xdr:cNvPr id="7" name="Conector reto 20"/>
        <xdr:cNvSpPr>
          <a:spLocks/>
        </xdr:cNvSpPr>
      </xdr:nvSpPr>
      <xdr:spPr>
        <a:xfrm>
          <a:off x="7105650" y="17830800"/>
          <a:ext cx="1066800" cy="0"/>
        </a:xfrm>
        <a:prstGeom prst="line">
          <a:avLst/>
        </a:prstGeom>
        <a:noFill/>
        <a:ln w="25400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19050</xdr:rowOff>
    </xdr:from>
    <xdr:to>
      <xdr:col>6</xdr:col>
      <xdr:colOff>9525</xdr:colOff>
      <xdr:row>7</xdr:row>
      <xdr:rowOff>0</xdr:rowOff>
    </xdr:to>
    <xdr:sp>
      <xdr:nvSpPr>
        <xdr:cNvPr id="8" name="Straight Arrow Connector 5"/>
        <xdr:cNvSpPr>
          <a:spLocks/>
        </xdr:cNvSpPr>
      </xdr:nvSpPr>
      <xdr:spPr>
        <a:xfrm flipV="1">
          <a:off x="4657725" y="590550"/>
          <a:ext cx="0" cy="742950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6</xdr:col>
      <xdr:colOff>19050</xdr:colOff>
      <xdr:row>7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1828800" y="1333500"/>
          <a:ext cx="2838450" cy="9525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0</xdr:colOff>
      <xdr:row>10</xdr:row>
      <xdr:rowOff>38100</xdr:rowOff>
    </xdr:to>
    <xdr:sp>
      <xdr:nvSpPr>
        <xdr:cNvPr id="10" name="Straight Arrow Connector 12"/>
        <xdr:cNvSpPr>
          <a:spLocks/>
        </xdr:cNvSpPr>
      </xdr:nvSpPr>
      <xdr:spPr>
        <a:xfrm>
          <a:off x="1809750" y="1343025"/>
          <a:ext cx="0" cy="6000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19050</xdr:rowOff>
    </xdr:from>
    <xdr:to>
      <xdr:col>6</xdr:col>
      <xdr:colOff>0</xdr:colOff>
      <xdr:row>110</xdr:row>
      <xdr:rowOff>0</xdr:rowOff>
    </xdr:to>
    <xdr:sp>
      <xdr:nvSpPr>
        <xdr:cNvPr id="11" name="Straight Arrow Connector 23"/>
        <xdr:cNvSpPr>
          <a:spLocks/>
        </xdr:cNvSpPr>
      </xdr:nvSpPr>
      <xdr:spPr>
        <a:xfrm flipV="1">
          <a:off x="4648200" y="19011900"/>
          <a:ext cx="0" cy="742950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110</xdr:row>
      <xdr:rowOff>0</xdr:rowOff>
    </xdr:from>
    <xdr:to>
      <xdr:col>6</xdr:col>
      <xdr:colOff>19050</xdr:colOff>
      <xdr:row>110</xdr:row>
      <xdr:rowOff>9525</xdr:rowOff>
    </xdr:to>
    <xdr:sp>
      <xdr:nvSpPr>
        <xdr:cNvPr id="12" name="Straight Connector 24"/>
        <xdr:cNvSpPr>
          <a:spLocks/>
        </xdr:cNvSpPr>
      </xdr:nvSpPr>
      <xdr:spPr>
        <a:xfrm>
          <a:off x="1828800" y="19754850"/>
          <a:ext cx="2838450" cy="9525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3</xdr:col>
      <xdr:colOff>0</xdr:colOff>
      <xdr:row>113</xdr:row>
      <xdr:rowOff>38100</xdr:rowOff>
    </xdr:to>
    <xdr:sp>
      <xdr:nvSpPr>
        <xdr:cNvPr id="13" name="Straight Arrow Connector 25"/>
        <xdr:cNvSpPr>
          <a:spLocks/>
        </xdr:cNvSpPr>
      </xdr:nvSpPr>
      <xdr:spPr>
        <a:xfrm>
          <a:off x="1809750" y="19764375"/>
          <a:ext cx="0" cy="6000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106</xdr:row>
      <xdr:rowOff>19050</xdr:rowOff>
    </xdr:from>
    <xdr:to>
      <xdr:col>15</xdr:col>
      <xdr:colOff>0</xdr:colOff>
      <xdr:row>110</xdr:row>
      <xdr:rowOff>0</xdr:rowOff>
    </xdr:to>
    <xdr:sp>
      <xdr:nvSpPr>
        <xdr:cNvPr id="14" name="Straight Arrow Connector 26"/>
        <xdr:cNvSpPr>
          <a:spLocks/>
        </xdr:cNvSpPr>
      </xdr:nvSpPr>
      <xdr:spPr>
        <a:xfrm flipV="1">
          <a:off x="13344525" y="19011900"/>
          <a:ext cx="0" cy="742950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110</xdr:row>
      <xdr:rowOff>0</xdr:rowOff>
    </xdr:from>
    <xdr:to>
      <xdr:col>15</xdr:col>
      <xdr:colOff>19050</xdr:colOff>
      <xdr:row>110</xdr:row>
      <xdr:rowOff>9525</xdr:rowOff>
    </xdr:to>
    <xdr:sp>
      <xdr:nvSpPr>
        <xdr:cNvPr id="15" name="Straight Connector 27"/>
        <xdr:cNvSpPr>
          <a:spLocks/>
        </xdr:cNvSpPr>
      </xdr:nvSpPr>
      <xdr:spPr>
        <a:xfrm>
          <a:off x="10096500" y="19754850"/>
          <a:ext cx="3267075" cy="9525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110</xdr:row>
      <xdr:rowOff>0</xdr:rowOff>
    </xdr:from>
    <xdr:to>
      <xdr:col>12</xdr:col>
      <xdr:colOff>9525</xdr:colOff>
      <xdr:row>113</xdr:row>
      <xdr:rowOff>28575</xdr:rowOff>
    </xdr:to>
    <xdr:sp>
      <xdr:nvSpPr>
        <xdr:cNvPr id="16" name="Straight Arrow Connector 28"/>
        <xdr:cNvSpPr>
          <a:spLocks/>
        </xdr:cNvSpPr>
      </xdr:nvSpPr>
      <xdr:spPr>
        <a:xfrm>
          <a:off x="10086975" y="19754850"/>
          <a:ext cx="0" cy="6000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7</xdr:row>
      <xdr:rowOff>0</xdr:rowOff>
    </xdr:to>
    <xdr:sp>
      <xdr:nvSpPr>
        <xdr:cNvPr id="17" name="Straight Arrow Connector 29"/>
        <xdr:cNvSpPr>
          <a:spLocks/>
        </xdr:cNvSpPr>
      </xdr:nvSpPr>
      <xdr:spPr>
        <a:xfrm flipV="1">
          <a:off x="13344525" y="590550"/>
          <a:ext cx="0" cy="742950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15</xdr:col>
      <xdr:colOff>19050</xdr:colOff>
      <xdr:row>7</xdr:row>
      <xdr:rowOff>9525</xdr:rowOff>
    </xdr:to>
    <xdr:sp>
      <xdr:nvSpPr>
        <xdr:cNvPr id="18" name="Straight Connector 30"/>
        <xdr:cNvSpPr>
          <a:spLocks/>
        </xdr:cNvSpPr>
      </xdr:nvSpPr>
      <xdr:spPr>
        <a:xfrm>
          <a:off x="10096500" y="1333500"/>
          <a:ext cx="3267075" cy="9525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10</xdr:row>
      <xdr:rowOff>28575</xdr:rowOff>
    </xdr:to>
    <xdr:sp>
      <xdr:nvSpPr>
        <xdr:cNvPr id="19" name="Straight Arrow Connector 31"/>
        <xdr:cNvSpPr>
          <a:spLocks/>
        </xdr:cNvSpPr>
      </xdr:nvSpPr>
      <xdr:spPr>
        <a:xfrm>
          <a:off x="10096500" y="1333500"/>
          <a:ext cx="0" cy="600075"/>
        </a:xfrm>
        <a:prstGeom prst="straightConnector1">
          <a:avLst/>
        </a:prstGeom>
        <a:noFill/>
        <a:ln w="222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122</xdr:row>
      <xdr:rowOff>28575</xdr:rowOff>
    </xdr:from>
    <xdr:to>
      <xdr:col>10</xdr:col>
      <xdr:colOff>504825</xdr:colOff>
      <xdr:row>143</xdr:row>
      <xdr:rowOff>95250</xdr:rowOff>
    </xdr:to>
    <xdr:graphicFrame>
      <xdr:nvGraphicFramePr>
        <xdr:cNvPr id="20" name="Gráfico 1"/>
        <xdr:cNvGraphicFramePr/>
      </xdr:nvGraphicFramePr>
      <xdr:xfrm>
        <a:off x="1885950" y="21936075"/>
        <a:ext cx="67818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304800"/>
    <xdr:sp>
      <xdr:nvSpPr>
        <xdr:cNvPr id="1" name="AutoShape 1" descr="Ver gráfico">
          <a:hlinkClick r:id="rId1"/>
        </xdr:cNvPr>
        <xdr:cNvSpPr>
          <a:spLocks noChangeAspect="1"/>
        </xdr:cNvSpPr>
      </xdr:nvSpPr>
      <xdr:spPr>
        <a:xfrm>
          <a:off x="0" y="59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228600</xdr:colOff>
      <xdr:row>4</xdr:row>
      <xdr:rowOff>28575</xdr:rowOff>
    </xdr:to>
    <xdr:pic>
      <xdr:nvPicPr>
        <xdr:cNvPr id="2" name="Imagem 1" descr="Ver gráfic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228600</xdr:colOff>
      <xdr:row>5</xdr:row>
      <xdr:rowOff>28575</xdr:rowOff>
    </xdr:to>
    <xdr:pic>
      <xdr:nvPicPr>
        <xdr:cNvPr id="3" name="Imagem 2" descr="Ver gráfico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228600</xdr:colOff>
      <xdr:row>6</xdr:row>
      <xdr:rowOff>28575</xdr:rowOff>
    </xdr:to>
    <xdr:pic>
      <xdr:nvPicPr>
        <xdr:cNvPr id="4" name="Imagem 3" descr="Ver gráfico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228600</xdr:colOff>
      <xdr:row>9</xdr:row>
      <xdr:rowOff>28575</xdr:rowOff>
    </xdr:to>
    <xdr:pic>
      <xdr:nvPicPr>
        <xdr:cNvPr id="5" name="Imagem 4" descr="Ver gráfico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0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228600</xdr:colOff>
      <xdr:row>12</xdr:row>
      <xdr:rowOff>28575</xdr:rowOff>
    </xdr:to>
    <xdr:pic>
      <xdr:nvPicPr>
        <xdr:cNvPr id="6" name="Imagem 5" descr="Ver gráfico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90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228600</xdr:colOff>
      <xdr:row>13</xdr:row>
      <xdr:rowOff>28575</xdr:rowOff>
    </xdr:to>
    <xdr:pic>
      <xdr:nvPicPr>
        <xdr:cNvPr id="7" name="Imagem 6" descr="Ver gráfico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228600</xdr:colOff>
      <xdr:row>15</xdr:row>
      <xdr:rowOff>28575</xdr:rowOff>
    </xdr:to>
    <xdr:pic>
      <xdr:nvPicPr>
        <xdr:cNvPr id="8" name="Imagem 7" descr="Ver gráfico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228600</xdr:colOff>
      <xdr:row>16</xdr:row>
      <xdr:rowOff>28575</xdr:rowOff>
    </xdr:to>
    <xdr:pic>
      <xdr:nvPicPr>
        <xdr:cNvPr id="9" name="Imagem 8" descr="Ver gráfico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90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228600</xdr:colOff>
      <xdr:row>17</xdr:row>
      <xdr:rowOff>28575</xdr:rowOff>
    </xdr:to>
    <xdr:pic>
      <xdr:nvPicPr>
        <xdr:cNvPr id="10" name="Imagem 9" descr="Ver gráfico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909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228600</xdr:colOff>
      <xdr:row>18</xdr:row>
      <xdr:rowOff>28575</xdr:rowOff>
    </xdr:to>
    <xdr:pic>
      <xdr:nvPicPr>
        <xdr:cNvPr id="11" name="Imagem 10" descr="Ver gráfico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90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228600</xdr:colOff>
      <xdr:row>19</xdr:row>
      <xdr:rowOff>28575</xdr:rowOff>
    </xdr:to>
    <xdr:pic>
      <xdr:nvPicPr>
        <xdr:cNvPr id="12" name="Imagem 11" descr="Ver gráfico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90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228600</xdr:colOff>
      <xdr:row>20</xdr:row>
      <xdr:rowOff>28575</xdr:rowOff>
    </xdr:to>
    <xdr:pic>
      <xdr:nvPicPr>
        <xdr:cNvPr id="13" name="Imagem 12" descr="Ver gráfico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909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228600</xdr:colOff>
      <xdr:row>21</xdr:row>
      <xdr:rowOff>28575</xdr:rowOff>
    </xdr:to>
    <xdr:pic>
      <xdr:nvPicPr>
        <xdr:cNvPr id="14" name="Imagem 13" descr="Ver gráfico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228600</xdr:colOff>
      <xdr:row>22</xdr:row>
      <xdr:rowOff>28575</xdr:rowOff>
    </xdr:to>
    <xdr:pic>
      <xdr:nvPicPr>
        <xdr:cNvPr id="15" name="Imagem 14" descr="Ver gráfico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91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228600</xdr:colOff>
      <xdr:row>23</xdr:row>
      <xdr:rowOff>28575</xdr:rowOff>
    </xdr:to>
    <xdr:pic>
      <xdr:nvPicPr>
        <xdr:cNvPr id="16" name="Imagem 15" descr="Ver gráfico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91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228600</xdr:colOff>
      <xdr:row>24</xdr:row>
      <xdr:rowOff>28575</xdr:rowOff>
    </xdr:to>
    <xdr:pic>
      <xdr:nvPicPr>
        <xdr:cNvPr id="17" name="Imagem 16" descr="Ver gráfico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228600</xdr:colOff>
      <xdr:row>25</xdr:row>
      <xdr:rowOff>28575</xdr:rowOff>
    </xdr:to>
    <xdr:pic>
      <xdr:nvPicPr>
        <xdr:cNvPr id="18" name="Imagem 17" descr="Ver gráfico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911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228600</xdr:colOff>
      <xdr:row>26</xdr:row>
      <xdr:rowOff>28575</xdr:rowOff>
    </xdr:to>
    <xdr:pic>
      <xdr:nvPicPr>
        <xdr:cNvPr id="19" name="Imagem 18" descr="Ver gráfico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91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228600</xdr:colOff>
      <xdr:row>27</xdr:row>
      <xdr:rowOff>28575</xdr:rowOff>
    </xdr:to>
    <xdr:pic>
      <xdr:nvPicPr>
        <xdr:cNvPr id="20" name="Imagem 19" descr="Ver gráfico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911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228600</xdr:colOff>
      <xdr:row>28</xdr:row>
      <xdr:rowOff>28575</xdr:rowOff>
    </xdr:to>
    <xdr:pic>
      <xdr:nvPicPr>
        <xdr:cNvPr id="21" name="Imagem 20" descr="Ver gráfico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1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228600</xdr:colOff>
      <xdr:row>30</xdr:row>
      <xdr:rowOff>28575</xdr:rowOff>
    </xdr:to>
    <xdr:pic>
      <xdr:nvPicPr>
        <xdr:cNvPr id="22" name="Imagem 21" descr="Ver gráfico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91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228600</xdr:colOff>
      <xdr:row>31</xdr:row>
      <xdr:rowOff>28575</xdr:rowOff>
    </xdr:to>
    <xdr:pic>
      <xdr:nvPicPr>
        <xdr:cNvPr id="23" name="Imagem 22" descr="Ver gráfico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912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228600</xdr:colOff>
      <xdr:row>32</xdr:row>
      <xdr:rowOff>28575</xdr:rowOff>
    </xdr:to>
    <xdr:pic>
      <xdr:nvPicPr>
        <xdr:cNvPr id="24" name="Imagem 23" descr="Ver gráfico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91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228600</xdr:colOff>
      <xdr:row>33</xdr:row>
      <xdr:rowOff>28575</xdr:rowOff>
    </xdr:to>
    <xdr:pic>
      <xdr:nvPicPr>
        <xdr:cNvPr id="25" name="Imagem 24" descr="Ver gráfico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228600</xdr:colOff>
      <xdr:row>34</xdr:row>
      <xdr:rowOff>28575</xdr:rowOff>
    </xdr:to>
    <xdr:pic>
      <xdr:nvPicPr>
        <xdr:cNvPr id="26" name="Imagem 25" descr="Ver gráfico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13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228600</xdr:colOff>
      <xdr:row>35</xdr:row>
      <xdr:rowOff>28575</xdr:rowOff>
    </xdr:to>
    <xdr:pic>
      <xdr:nvPicPr>
        <xdr:cNvPr id="27" name="Imagem 26" descr="Ver gráfico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228600</xdr:colOff>
      <xdr:row>36</xdr:row>
      <xdr:rowOff>28575</xdr:rowOff>
    </xdr:to>
    <xdr:pic>
      <xdr:nvPicPr>
        <xdr:cNvPr id="28" name="Imagem 27" descr="Ver gráfico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913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523875</xdr:colOff>
      <xdr:row>2</xdr:row>
      <xdr:rowOff>9525</xdr:rowOff>
    </xdr:from>
    <xdr:to>
      <xdr:col>23</xdr:col>
      <xdr:colOff>219075</xdr:colOff>
      <xdr:row>15</xdr:row>
      <xdr:rowOff>152400</xdr:rowOff>
    </xdr:to>
    <xdr:graphicFrame>
      <xdr:nvGraphicFramePr>
        <xdr:cNvPr id="29" name="Gráfico 28"/>
        <xdr:cNvGraphicFramePr/>
      </xdr:nvGraphicFramePr>
      <xdr:xfrm>
        <a:off x="8715375" y="600075"/>
        <a:ext cx="4600575" cy="2743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47625</xdr:rowOff>
    </xdr:from>
    <xdr:to>
      <xdr:col>15</xdr:col>
      <xdr:colOff>171450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4219575" y="247650"/>
        <a:ext cx="5286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495300"/>
          <a:ext cx="1219200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True Data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219200" y="495300"/>
          <a:ext cx="121920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Spline Estimates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14</xdr:row>
      <xdr:rowOff>0</xdr:rowOff>
    </xdr:from>
    <xdr:to>
      <xdr:col>17</xdr:col>
      <xdr:colOff>323850</xdr:colOff>
      <xdr:row>22</xdr:row>
      <xdr:rowOff>104775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2686050"/>
          <a:ext cx="2105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</xdr:row>
      <xdr:rowOff>123825</xdr:rowOff>
    </xdr:from>
    <xdr:to>
      <xdr:col>8</xdr:col>
      <xdr:colOff>466725</xdr:colOff>
      <xdr:row>12</xdr:row>
      <xdr:rowOff>123825</xdr:rowOff>
    </xdr:to>
    <xdr:graphicFrame>
      <xdr:nvGraphicFramePr>
        <xdr:cNvPr id="2" name="Gráfico 4"/>
        <xdr:cNvGraphicFramePr/>
      </xdr:nvGraphicFramePr>
      <xdr:xfrm>
        <a:off x="2876550" y="514350"/>
        <a:ext cx="28765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3</xdr:row>
      <xdr:rowOff>57150</xdr:rowOff>
    </xdr:from>
    <xdr:to>
      <xdr:col>17</xdr:col>
      <xdr:colOff>180975</xdr:colOff>
      <xdr:row>13</xdr:row>
      <xdr:rowOff>19050</xdr:rowOff>
    </xdr:to>
    <xdr:graphicFrame>
      <xdr:nvGraphicFramePr>
        <xdr:cNvPr id="3" name="Gráfico 5"/>
        <xdr:cNvGraphicFramePr/>
      </xdr:nvGraphicFramePr>
      <xdr:xfrm>
        <a:off x="8020050" y="647700"/>
        <a:ext cx="314325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561975</xdr:colOff>
      <xdr:row>39</xdr:row>
      <xdr:rowOff>180975</xdr:rowOff>
    </xdr:from>
    <xdr:to>
      <xdr:col>17</xdr:col>
      <xdr:colOff>152400</xdr:colOff>
      <xdr:row>54</xdr:row>
      <xdr:rowOff>66675</xdr:rowOff>
    </xdr:to>
    <xdr:graphicFrame>
      <xdr:nvGraphicFramePr>
        <xdr:cNvPr id="4" name="Gráfico 7"/>
        <xdr:cNvGraphicFramePr/>
      </xdr:nvGraphicFramePr>
      <xdr:xfrm>
        <a:off x="6562725" y="7629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266700</xdr:colOff>
      <xdr:row>56</xdr:row>
      <xdr:rowOff>85725</xdr:rowOff>
    </xdr:from>
    <xdr:to>
      <xdr:col>19</xdr:col>
      <xdr:colOff>571500</xdr:colOff>
      <xdr:row>70</xdr:row>
      <xdr:rowOff>161925</xdr:rowOff>
    </xdr:to>
    <xdr:graphicFrame>
      <xdr:nvGraphicFramePr>
        <xdr:cNvPr id="5" name="Gráfico 8"/>
        <xdr:cNvGraphicFramePr/>
      </xdr:nvGraphicFramePr>
      <xdr:xfrm>
        <a:off x="8201025" y="10772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b.gov.br/?SELICLFTLBC" TargetMode="External" /><Relationship Id="rId2" Type="http://schemas.openxmlformats.org/officeDocument/2006/relationships/hyperlink" Target="https://www.tesouro.fazenda.gov.br/pt/titulos-da-divida-intern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U687"/>
  <sheetViews>
    <sheetView zoomScalePageLayoutView="0" workbookViewId="0" topLeftCell="A1">
      <selection activeCell="K14" sqref="K14"/>
    </sheetView>
  </sheetViews>
  <sheetFormatPr defaultColWidth="8.8515625" defaultRowHeight="15"/>
  <cols>
    <col min="1" max="1" width="8.8515625" style="0" customWidth="1"/>
    <col min="2" max="3" width="9.140625" style="0" bestFit="1" customWidth="1"/>
    <col min="4" max="4" width="13.28125" style="0" customWidth="1"/>
    <col min="5" max="5" width="14.28125" style="0" customWidth="1"/>
    <col min="6" max="6" width="15.00390625" style="0" customWidth="1"/>
    <col min="7" max="7" width="17.140625" style="0" customWidth="1"/>
    <col min="8" max="8" width="10.7109375" style="0" bestFit="1" customWidth="1"/>
    <col min="9" max="9" width="10.57421875" style="0" customWidth="1"/>
    <col min="10" max="10" width="14.28125" style="0" bestFit="1" customWidth="1"/>
    <col min="11" max="11" width="12.00390625" style="0" bestFit="1" customWidth="1"/>
    <col min="12" max="12" width="16.7109375" style="0" bestFit="1" customWidth="1"/>
    <col min="13" max="13" width="16.8515625" style="0" customWidth="1"/>
    <col min="14" max="14" width="18.7109375" style="0" bestFit="1" customWidth="1"/>
    <col min="15" max="15" width="13.421875" style="0" bestFit="1" customWidth="1"/>
    <col min="16" max="16" width="13.28125" style="0" bestFit="1" customWidth="1"/>
    <col min="17" max="17" width="10.28125" style="0" customWidth="1"/>
    <col min="18" max="18" width="8.8515625" style="0" customWidth="1"/>
    <col min="19" max="19" width="13.140625" style="0" bestFit="1" customWidth="1"/>
    <col min="20" max="20" width="12.8515625" style="0" bestFit="1" customWidth="1"/>
    <col min="21" max="21" width="10.57421875" style="0" bestFit="1" customWidth="1"/>
  </cols>
  <sheetData>
    <row r="1" spans="1:14" ht="15">
      <c r="A1" s="121" t="s">
        <v>112</v>
      </c>
      <c r="B1" s="6" t="s">
        <v>110</v>
      </c>
      <c r="E1" s="21" t="s">
        <v>42</v>
      </c>
      <c r="N1" s="21" t="s">
        <v>42</v>
      </c>
    </row>
    <row r="2" spans="5:19" ht="15">
      <c r="E2" s="20" t="s">
        <v>51</v>
      </c>
      <c r="G2" s="40" t="s">
        <v>34</v>
      </c>
      <c r="J2" s="40" t="s">
        <v>37</v>
      </c>
      <c r="N2" s="20" t="s">
        <v>56</v>
      </c>
      <c r="P2" s="40" t="s">
        <v>34</v>
      </c>
      <c r="S2" s="40" t="s">
        <v>37</v>
      </c>
    </row>
    <row r="3" spans="7:20" ht="15">
      <c r="G3" s="17">
        <v>1000</v>
      </c>
      <c r="J3" s="41">
        <v>11.1</v>
      </c>
      <c r="K3" t="s">
        <v>3</v>
      </c>
      <c r="P3" s="17">
        <v>1000</v>
      </c>
      <c r="S3" s="41">
        <v>11.1</v>
      </c>
      <c r="T3" t="s">
        <v>3</v>
      </c>
    </row>
    <row r="4" spans="4:14" ht="15">
      <c r="D4" s="11" t="s">
        <v>9</v>
      </c>
      <c r="E4" s="48">
        <v>13.06</v>
      </c>
      <c r="M4" s="11" t="s">
        <v>9</v>
      </c>
      <c r="N4" s="48">
        <v>11.14</v>
      </c>
    </row>
    <row r="5" spans="1:19" ht="15">
      <c r="A5" s="6"/>
      <c r="D5" s="12" t="s">
        <v>10</v>
      </c>
      <c r="E5" s="28">
        <v>12</v>
      </c>
      <c r="I5" s="176" t="s">
        <v>38</v>
      </c>
      <c r="J5" s="177"/>
      <c r="M5" s="12" t="s">
        <v>10</v>
      </c>
      <c r="N5" s="28">
        <v>10</v>
      </c>
      <c r="R5" s="47" t="s">
        <v>55</v>
      </c>
      <c r="S5" s="49"/>
    </row>
    <row r="6" spans="4:19" ht="15">
      <c r="D6" s="13" t="s">
        <v>35</v>
      </c>
      <c r="E6" s="154">
        <f>E4+E5/100</f>
        <v>13.18</v>
      </c>
      <c r="F6" t="s">
        <v>3</v>
      </c>
      <c r="I6" s="51" t="s">
        <v>39</v>
      </c>
      <c r="J6" s="52">
        <f>E13*G3</f>
        <v>10000000</v>
      </c>
      <c r="M6" s="13" t="s">
        <v>35</v>
      </c>
      <c r="N6" s="50">
        <f>N4+N5/100</f>
        <v>11.24</v>
      </c>
      <c r="O6" t="s">
        <v>3</v>
      </c>
      <c r="R6" s="51" t="s">
        <v>39</v>
      </c>
      <c r="S6" s="16">
        <f>N15</f>
        <v>9782595.209999999</v>
      </c>
    </row>
    <row r="7" spans="9:19" ht="15">
      <c r="I7" s="38" t="s">
        <v>40</v>
      </c>
      <c r="J7" s="53">
        <f>(1+J3/100)^(G9/252)*E15</f>
        <v>9605371.506198458</v>
      </c>
      <c r="R7" s="38" t="s">
        <v>40</v>
      </c>
      <c r="S7" s="53">
        <f>(1+S3/100)^((G9-P9)/252)*E15</f>
        <v>9398988.25518245</v>
      </c>
    </row>
    <row r="8" spans="7:16" ht="15">
      <c r="G8" s="40" t="s">
        <v>24</v>
      </c>
      <c r="P8" s="40" t="s">
        <v>24</v>
      </c>
    </row>
    <row r="9" spans="7:19" ht="15">
      <c r="G9" s="41">
        <v>547</v>
      </c>
      <c r="H9" t="s">
        <v>2</v>
      </c>
      <c r="I9" s="42" t="s">
        <v>49</v>
      </c>
      <c r="J9" s="54">
        <f>J6-J7</f>
        <v>394628.4938015416</v>
      </c>
      <c r="P9" s="41">
        <v>52</v>
      </c>
      <c r="Q9" t="s">
        <v>2</v>
      </c>
      <c r="R9" s="42" t="s">
        <v>49</v>
      </c>
      <c r="S9" s="54">
        <f>S6-S7</f>
        <v>383606.9548175484</v>
      </c>
    </row>
    <row r="11" spans="4:14" ht="15">
      <c r="D11" s="47" t="s">
        <v>36</v>
      </c>
      <c r="E11" s="55">
        <f>ROUND(G3/(1+E6/100)^(G9/252),6)</f>
        <v>764.338321</v>
      </c>
      <c r="F11" s="118"/>
      <c r="M11" s="47" t="s">
        <v>36</v>
      </c>
      <c r="N11" s="55">
        <f>ROUND(P3/(1+N6/100)^(P9/252),6)</f>
        <v>978.259521</v>
      </c>
    </row>
    <row r="13" spans="4:14" ht="15">
      <c r="D13" s="42" t="s">
        <v>41</v>
      </c>
      <c r="E13" s="14">
        <v>10000</v>
      </c>
      <c r="M13" s="42" t="s">
        <v>41</v>
      </c>
      <c r="N13" s="14">
        <f>E13</f>
        <v>10000</v>
      </c>
    </row>
    <row r="15" spans="4:14" ht="15">
      <c r="D15" s="42" t="s">
        <v>40</v>
      </c>
      <c r="E15" s="56">
        <f>E11*E13</f>
        <v>7643383.21</v>
      </c>
      <c r="M15" s="42" t="s">
        <v>40</v>
      </c>
      <c r="N15" s="56">
        <f>N11*N13</f>
        <v>9782595.209999999</v>
      </c>
    </row>
    <row r="17" spans="1:19" ht="4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2" ht="15">
      <c r="A18" s="121" t="s">
        <v>113</v>
      </c>
      <c r="B18" s="6" t="s">
        <v>111</v>
      </c>
    </row>
    <row r="19" spans="4:7" ht="15">
      <c r="D19" s="178" t="s">
        <v>83</v>
      </c>
      <c r="E19" s="178"/>
      <c r="F19" s="178"/>
      <c r="G19" s="178"/>
    </row>
    <row r="20" spans="4:10" ht="15">
      <c r="D20" s="62">
        <v>44562</v>
      </c>
      <c r="E20" s="63">
        <v>44998</v>
      </c>
      <c r="F20" s="63">
        <v>41705</v>
      </c>
      <c r="G20" s="63">
        <v>42070</v>
      </c>
      <c r="I20" s="6" t="s">
        <v>119</v>
      </c>
      <c r="J20" s="122"/>
    </row>
    <row r="21" spans="4:9" ht="15">
      <c r="D21" s="64" t="s">
        <v>84</v>
      </c>
      <c r="E21" s="65">
        <v>0.35</v>
      </c>
      <c r="F21" s="65">
        <v>0</v>
      </c>
      <c r="G21" s="65">
        <v>-0.35</v>
      </c>
      <c r="I21" s="122" t="s">
        <v>118</v>
      </c>
    </row>
    <row r="22" spans="4:7" ht="15">
      <c r="D22" s="64" t="s">
        <v>85</v>
      </c>
      <c r="E22" s="66">
        <f>_XLL.DIATRABALHOTOTAL($D$20,E20,Feriado!$A$1:$L$62)</f>
        <v>300</v>
      </c>
      <c r="F22" s="66">
        <f>_XLL.DIATRABALHOTOTAL($D$20,F20,Feriado!$A$1:$L$62)</f>
        <v>-1964</v>
      </c>
      <c r="G22" s="66">
        <f>_XLL.DIATRABALHOTOTAL($D$20,G20,Feriado!$A$1:$L$62)</f>
        <v>-1711</v>
      </c>
    </row>
    <row r="23" spans="4:7" ht="15">
      <c r="D23" s="64" t="s">
        <v>86</v>
      </c>
      <c r="E23" s="67">
        <f>100/(1+E21/100)^(E22/252)</f>
        <v>99.5849246320597</v>
      </c>
      <c r="F23" s="67">
        <f>100/(1+F21/100)^(F22/252)</f>
        <v>100</v>
      </c>
      <c r="G23" s="67">
        <f>100/(1+G21/100)^(G22/252)</f>
        <v>97.64755445274102</v>
      </c>
    </row>
    <row r="24" spans="4:7" ht="15">
      <c r="D24" s="64" t="s">
        <v>74</v>
      </c>
      <c r="E24" s="68">
        <v>12169.499732</v>
      </c>
      <c r="F24" s="68">
        <v>12169.499732</v>
      </c>
      <c r="G24" s="68">
        <v>12169.499732</v>
      </c>
    </row>
    <row r="25" spans="4:7" ht="15">
      <c r="D25" s="64" t="s">
        <v>33</v>
      </c>
      <c r="E25" s="67">
        <f>E23/100*E24</f>
        <v>12118.987136210908</v>
      </c>
      <c r="F25" s="67">
        <f>F23/100*F24</f>
        <v>12169.499732</v>
      </c>
      <c r="G25" s="67">
        <f>G23/100*G24</f>
        <v>11883.218877430872</v>
      </c>
    </row>
    <row r="27" spans="1:19" ht="4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2" ht="15">
      <c r="A28" s="121" t="s">
        <v>114</v>
      </c>
      <c r="B28" s="6" t="s">
        <v>116</v>
      </c>
    </row>
    <row r="29" spans="4:12" ht="15">
      <c r="D29" s="178" t="s">
        <v>72</v>
      </c>
      <c r="E29" s="178"/>
      <c r="H29" s="178" t="s">
        <v>71</v>
      </c>
      <c r="I29" s="178"/>
      <c r="J29" s="178"/>
      <c r="K29" s="178"/>
      <c r="L29" s="178"/>
    </row>
    <row r="30" spans="4:14" ht="15">
      <c r="D30" s="69"/>
      <c r="E30" s="69"/>
      <c r="H30" s="70" t="s">
        <v>70</v>
      </c>
      <c r="I30" s="70" t="s">
        <v>69</v>
      </c>
      <c r="J30" s="70" t="s">
        <v>28</v>
      </c>
      <c r="K30" s="70" t="s">
        <v>68</v>
      </c>
      <c r="L30" s="70" t="s">
        <v>67</v>
      </c>
      <c r="N30" s="70" t="s">
        <v>120</v>
      </c>
    </row>
    <row r="31" spans="4:14" ht="15">
      <c r="D31" s="69" t="s">
        <v>66</v>
      </c>
      <c r="E31" s="71">
        <v>40478</v>
      </c>
      <c r="H31" s="63">
        <v>40544</v>
      </c>
      <c r="I31" s="72">
        <v>40546</v>
      </c>
      <c r="J31" s="66">
        <f>_XLL.DIATRABALHOTOTAL($E$31,I31,Feriado!$C$1:$L$62)-1</f>
        <v>46</v>
      </c>
      <c r="K31" s="68">
        <f aca="true" t="shared" si="0" ref="K31:K36">$E$33*1000/100</f>
        <v>48.80885</v>
      </c>
      <c r="L31" s="68">
        <f aca="true" t="shared" si="1" ref="L31:L37">K31/(1+$E$37/100)^(J31/252)</f>
        <v>47.81224217734161</v>
      </c>
      <c r="N31" s="60">
        <f aca="true" t="shared" si="2" ref="N31:N37">L31*J31</f>
        <v>2199.363140157714</v>
      </c>
    </row>
    <row r="32" spans="4:14" ht="15">
      <c r="D32" s="69" t="s">
        <v>65</v>
      </c>
      <c r="E32" s="69">
        <v>10</v>
      </c>
      <c r="H32" s="63">
        <v>40725</v>
      </c>
      <c r="I32" s="73">
        <v>40725</v>
      </c>
      <c r="J32" s="66">
        <f>_XLL.DIATRABALHOTOTAL($E$31,I32,Feriado!$C$1:$L$62)-1</f>
        <v>171</v>
      </c>
      <c r="K32" s="68">
        <f t="shared" si="0"/>
        <v>48.80885</v>
      </c>
      <c r="L32" s="68">
        <f t="shared" si="1"/>
        <v>45.20565220034983</v>
      </c>
      <c r="N32" s="60">
        <f t="shared" si="2"/>
        <v>7730.166526259821</v>
      </c>
    </row>
    <row r="33" spans="4:14" ht="15">
      <c r="D33" s="69" t="s">
        <v>64</v>
      </c>
      <c r="E33" s="74">
        <f>ROUND((1+E32/100)^(1/2)-1,8)*100</f>
        <v>4.880885</v>
      </c>
      <c r="H33" s="63">
        <v>40909</v>
      </c>
      <c r="I33" s="73">
        <v>40910</v>
      </c>
      <c r="J33" s="66">
        <f>_XLL.DIATRABALHOTOTAL($E$31,I33,Feriado!$C$1:$L$62)-1</f>
        <v>298</v>
      </c>
      <c r="K33" s="68">
        <f t="shared" si="0"/>
        <v>48.80885</v>
      </c>
      <c r="L33" s="68">
        <f t="shared" si="1"/>
        <v>42.70284658361239</v>
      </c>
      <c r="N33" s="60">
        <f t="shared" si="2"/>
        <v>12725.448281916493</v>
      </c>
    </row>
    <row r="34" spans="4:14" ht="15">
      <c r="D34" s="69" t="s">
        <v>63</v>
      </c>
      <c r="E34" s="69">
        <v>1000</v>
      </c>
      <c r="H34" s="63">
        <v>41091</v>
      </c>
      <c r="I34" s="73">
        <v>41092</v>
      </c>
      <c r="J34" s="66">
        <f>_XLL.DIATRABALHOTOTAL($E$31,I34,Feriado!$C$1:$L$62)-1</f>
        <v>424</v>
      </c>
      <c r="K34" s="68">
        <f t="shared" si="0"/>
        <v>48.80885</v>
      </c>
      <c r="L34" s="68">
        <f t="shared" si="1"/>
        <v>40.35670349005519</v>
      </c>
      <c r="N34" s="60">
        <f t="shared" si="2"/>
        <v>17111.2422797834</v>
      </c>
    </row>
    <row r="35" spans="4:14" ht="15">
      <c r="D35" s="69" t="s">
        <v>62</v>
      </c>
      <c r="E35" s="75">
        <v>15.5</v>
      </c>
      <c r="H35" s="63">
        <v>41275</v>
      </c>
      <c r="I35" s="73">
        <v>41276</v>
      </c>
      <c r="J35" s="66">
        <f>_XLL.DIATRABALHOTOTAL($E$31,I35,Feriado!$C$1:$L$62)-1</f>
        <v>551</v>
      </c>
      <c r="K35" s="68">
        <f t="shared" si="0"/>
        <v>48.80885</v>
      </c>
      <c r="L35" s="68">
        <f t="shared" si="1"/>
        <v>38.12235934830347</v>
      </c>
      <c r="N35" s="60">
        <f t="shared" si="2"/>
        <v>21005.420000915212</v>
      </c>
    </row>
    <row r="36" spans="4:14" ht="15">
      <c r="D36" s="69" t="s">
        <v>61</v>
      </c>
      <c r="E36" s="76">
        <v>11.81</v>
      </c>
      <c r="H36" s="63">
        <v>41456</v>
      </c>
      <c r="I36" s="73">
        <v>41456</v>
      </c>
      <c r="J36" s="66">
        <f>_XLL.DIATRABALHOTOTAL($E$31,I36,Feriado!$C$1:$L$62)-1</f>
        <v>675</v>
      </c>
      <c r="K36" s="68">
        <f t="shared" si="0"/>
        <v>48.80885</v>
      </c>
      <c r="L36" s="68">
        <f t="shared" si="1"/>
        <v>36.06020327035945</v>
      </c>
      <c r="N36" s="60">
        <f t="shared" si="2"/>
        <v>24340.63720749263</v>
      </c>
    </row>
    <row r="37" spans="4:14" ht="15">
      <c r="D37" s="69" t="s">
        <v>60</v>
      </c>
      <c r="E37" s="77">
        <f>E36+E35/100</f>
        <v>11.965</v>
      </c>
      <c r="H37" s="63">
        <v>41640</v>
      </c>
      <c r="I37" s="78">
        <v>41641</v>
      </c>
      <c r="J37" s="66">
        <f>_XLL.DIATRABALHOTOTAL($E$31,I37,Feriado!$C$1:$L$62)-1</f>
        <v>806</v>
      </c>
      <c r="K37" s="68">
        <f>$E$33*1000/100+1000</f>
        <v>1048.80885</v>
      </c>
      <c r="L37" s="68">
        <f t="shared" si="1"/>
        <v>730.6526125908163</v>
      </c>
      <c r="N37" s="60">
        <f t="shared" si="2"/>
        <v>588906.0057481979</v>
      </c>
    </row>
    <row r="38" spans="4:14" ht="15">
      <c r="D38" s="69" t="s">
        <v>59</v>
      </c>
      <c r="E38" s="71">
        <v>41640</v>
      </c>
      <c r="H38" s="71"/>
      <c r="K38" s="70" t="s">
        <v>33</v>
      </c>
      <c r="L38" s="79">
        <f>SUM(L31:L37)</f>
        <v>980.9126196608382</v>
      </c>
      <c r="N38" s="80">
        <f>SUM(N31:N37)</f>
        <v>674018.2831847232</v>
      </c>
    </row>
    <row r="40" spans="4:12" ht="15">
      <c r="D40" s="6" t="s">
        <v>122</v>
      </c>
      <c r="F40" s="122" t="s">
        <v>121</v>
      </c>
      <c r="K40" s="70" t="s">
        <v>58</v>
      </c>
      <c r="L40" s="81">
        <f>N38/L38</f>
        <v>687.1338686801407</v>
      </c>
    </row>
    <row r="43" spans="1:18" ht="4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" ht="15">
      <c r="A44" s="121" t="s">
        <v>115</v>
      </c>
      <c r="B44" s="6" t="s">
        <v>117</v>
      </c>
    </row>
    <row r="45" spans="4:12" ht="15">
      <c r="D45" s="178" t="s">
        <v>73</v>
      </c>
      <c r="E45" s="178"/>
      <c r="H45" s="123" t="s">
        <v>71</v>
      </c>
      <c r="I45" s="123"/>
      <c r="J45" s="123"/>
      <c r="K45" s="123"/>
      <c r="L45" s="123"/>
    </row>
    <row r="46" spans="4:14" ht="15">
      <c r="D46" s="69"/>
      <c r="E46" s="69"/>
      <c r="H46" s="70" t="s">
        <v>70</v>
      </c>
      <c r="I46" s="70" t="s">
        <v>69</v>
      </c>
      <c r="J46" s="70" t="s">
        <v>28</v>
      </c>
      <c r="K46" s="70" t="s">
        <v>68</v>
      </c>
      <c r="L46" s="70" t="s">
        <v>67</v>
      </c>
      <c r="N46" s="70" t="s">
        <v>120</v>
      </c>
    </row>
    <row r="47" spans="4:14" ht="15">
      <c r="D47" s="69" t="s">
        <v>66</v>
      </c>
      <c r="E47" s="71">
        <v>40478</v>
      </c>
      <c r="H47" s="82">
        <v>40589</v>
      </c>
      <c r="I47" s="83">
        <v>40589</v>
      </c>
      <c r="J47" s="66">
        <f>_XLL.DIATRABALHOTOTAL($E$31,I47,Feriado!$C$1:$L$62)-1</f>
        <v>77</v>
      </c>
      <c r="K47" s="68">
        <f aca="true" t="shared" si="3" ref="K47:K53">$E$49</f>
        <v>2.956301</v>
      </c>
      <c r="L47" s="68">
        <f aca="true" t="shared" si="4" ref="L47:L54">K47/(1+$E$52/100)^(J47/252)</f>
        <v>2.9003749216065446</v>
      </c>
      <c r="N47" s="60">
        <f aca="true" t="shared" si="5" ref="N47:N54">L47*J47</f>
        <v>223.32886896370394</v>
      </c>
    </row>
    <row r="48" spans="4:14" ht="15">
      <c r="D48" s="69" t="s">
        <v>65</v>
      </c>
      <c r="E48" s="69">
        <v>6</v>
      </c>
      <c r="H48" s="82">
        <v>40770</v>
      </c>
      <c r="I48" s="83">
        <v>40770</v>
      </c>
      <c r="J48" s="66">
        <f>_XLL.DIATRABALHOTOTAL($E$31,I48,Feriado!$C$1:$L$62)-1</f>
        <v>202</v>
      </c>
      <c r="K48" s="68">
        <f t="shared" si="3"/>
        <v>2.956301</v>
      </c>
      <c r="L48" s="68">
        <f t="shared" si="4"/>
        <v>2.8118298000036517</v>
      </c>
      <c r="N48" s="60">
        <f t="shared" si="5"/>
        <v>567.9896196007377</v>
      </c>
    </row>
    <row r="49" spans="4:14" ht="15">
      <c r="D49" s="69" t="s">
        <v>64</v>
      </c>
      <c r="E49" s="74">
        <f>ROUND((1+E48/100)^(1/2)-1,8)*100</f>
        <v>2.956301</v>
      </c>
      <c r="H49" s="82">
        <v>40954</v>
      </c>
      <c r="I49" s="83">
        <v>40954</v>
      </c>
      <c r="J49" s="66">
        <f>_XLL.DIATRABALHOTOTAL($E$31,I49,Feriado!$C$1:$L$62)-1</f>
        <v>330</v>
      </c>
      <c r="K49" s="68">
        <f t="shared" si="3"/>
        <v>2.956301</v>
      </c>
      <c r="L49" s="68">
        <f t="shared" si="4"/>
        <v>2.7239601802620212</v>
      </c>
      <c r="N49" s="60">
        <f t="shared" si="5"/>
        <v>898.906859486467</v>
      </c>
    </row>
    <row r="50" spans="4:14" ht="15">
      <c r="D50" s="69" t="s">
        <v>34</v>
      </c>
      <c r="E50" s="69">
        <v>1000</v>
      </c>
      <c r="H50" s="82">
        <v>41136</v>
      </c>
      <c r="I50" s="83">
        <v>41136</v>
      </c>
      <c r="J50" s="66">
        <f>_XLL.DIATRABALHOTOTAL($E$31,I50,Feriado!$C$1:$L$62)-1</f>
        <v>456</v>
      </c>
      <c r="K50" s="68">
        <f t="shared" si="3"/>
        <v>2.956301</v>
      </c>
      <c r="L50" s="68">
        <f t="shared" si="4"/>
        <v>2.640145864647699</v>
      </c>
      <c r="N50" s="60">
        <f t="shared" si="5"/>
        <v>1203.9065142793509</v>
      </c>
    </row>
    <row r="51" spans="4:14" ht="15">
      <c r="D51" s="69" t="s">
        <v>74</v>
      </c>
      <c r="E51" s="84">
        <f>E55*E59</f>
        <v>1939.178601746081</v>
      </c>
      <c r="H51" s="82">
        <v>41320</v>
      </c>
      <c r="I51" s="83">
        <v>41320</v>
      </c>
      <c r="J51" s="66">
        <f>_XLL.DIATRABALHOTOTAL($E$31,I51,Feriado!$C$1:$L$62)-1</f>
        <v>582</v>
      </c>
      <c r="K51" s="68">
        <f t="shared" si="3"/>
        <v>2.956301</v>
      </c>
      <c r="L51" s="68">
        <f t="shared" si="4"/>
        <v>2.5589104558591087</v>
      </c>
      <c r="N51" s="60">
        <f t="shared" si="5"/>
        <v>1489.2858853100013</v>
      </c>
    </row>
    <row r="52" spans="4:14" ht="15">
      <c r="D52" s="69" t="s">
        <v>60</v>
      </c>
      <c r="E52" s="76">
        <v>6.45</v>
      </c>
      <c r="H52" s="82">
        <v>41501</v>
      </c>
      <c r="I52" s="83">
        <v>41501</v>
      </c>
      <c r="J52" s="66">
        <f>_XLL.DIATRABALHOTOTAL($E$31,I52,Feriado!$C$1:$L$62)-1</f>
        <v>708</v>
      </c>
      <c r="K52" s="68">
        <f t="shared" si="3"/>
        <v>2.956301</v>
      </c>
      <c r="L52" s="68">
        <f t="shared" si="4"/>
        <v>2.4801746027690927</v>
      </c>
      <c r="N52" s="60">
        <f t="shared" si="5"/>
        <v>1755.9636187605176</v>
      </c>
    </row>
    <row r="53" spans="4:14" ht="15">
      <c r="D53" s="69" t="s">
        <v>59</v>
      </c>
      <c r="E53" s="71">
        <v>45519</v>
      </c>
      <c r="H53" s="82">
        <v>41685</v>
      </c>
      <c r="I53" s="83">
        <v>41687</v>
      </c>
      <c r="J53" s="66">
        <f>_XLL.DIATRABALHOTOTAL($E$31,I53,Feriado!$C$1:$L$62)-1</f>
        <v>838</v>
      </c>
      <c r="K53" s="68">
        <f t="shared" si="3"/>
        <v>2.956301</v>
      </c>
      <c r="L53" s="68">
        <f t="shared" si="4"/>
        <v>2.4014775968132707</v>
      </c>
      <c r="N53" s="60">
        <f t="shared" si="5"/>
        <v>2012.438226129521</v>
      </c>
    </row>
    <row r="54" spans="8:14" ht="15">
      <c r="H54" s="82">
        <v>41866</v>
      </c>
      <c r="I54" s="83">
        <v>41866</v>
      </c>
      <c r="J54" s="66">
        <f>_XLL.DIATRABALHOTOTAL($E$31,I54,Feriado!$C$1:$L$62)-1</f>
        <v>962</v>
      </c>
      <c r="K54" s="68">
        <f>$E$49+100</f>
        <v>102.956301</v>
      </c>
      <c r="L54" s="68">
        <f t="shared" si="4"/>
        <v>81.10085430249487</v>
      </c>
      <c r="N54" s="60">
        <f t="shared" si="5"/>
        <v>78019.02183900007</v>
      </c>
    </row>
    <row r="55" spans="4:14" ht="15">
      <c r="D55" s="69" t="s">
        <v>75</v>
      </c>
      <c r="E55" s="85">
        <v>1936.238867</v>
      </c>
      <c r="K55" s="70" t="s">
        <v>76</v>
      </c>
      <c r="L55" s="86">
        <f>SUM(L47:L54)</f>
        <v>99.61772772445626</v>
      </c>
      <c r="N55" s="80">
        <f>SUM(N48:N54)</f>
        <v>85947.51256256667</v>
      </c>
    </row>
    <row r="56" spans="4:12" ht="15">
      <c r="D56" s="87" t="s">
        <v>77</v>
      </c>
      <c r="E56" s="76">
        <v>0.38</v>
      </c>
      <c r="F56" s="88" t="s">
        <v>78</v>
      </c>
      <c r="G56" s="88" t="s">
        <v>79</v>
      </c>
      <c r="K56" s="70" t="s">
        <v>33</v>
      </c>
      <c r="L56" s="86">
        <f>L55*E51/100</f>
        <v>1931.7656595783292</v>
      </c>
    </row>
    <row r="57" spans="4:7" ht="15">
      <c r="D57" s="87" t="s">
        <v>80</v>
      </c>
      <c r="E57" s="89">
        <f>_XLL.DIATRABALHOTOTAL(F57,G57,Feriado!$A$1:$L$62)-1</f>
        <v>20</v>
      </c>
      <c r="F57" s="61">
        <v>40466</v>
      </c>
      <c r="G57" s="61">
        <v>40498</v>
      </c>
    </row>
    <row r="58" spans="4:12" ht="15">
      <c r="D58" s="87" t="s">
        <v>81</v>
      </c>
      <c r="E58" s="89">
        <f>_XLL.DIATRABALHOTOTAL(F58,G58,Feriado!$A$1:$L$62)-1</f>
        <v>8</v>
      </c>
      <c r="F58" s="90">
        <v>40466</v>
      </c>
      <c r="G58" s="61">
        <f>E47</f>
        <v>40478</v>
      </c>
      <c r="K58" s="70" t="s">
        <v>58</v>
      </c>
      <c r="L58" s="81">
        <f>N55/L55</f>
        <v>862.773268632451</v>
      </c>
    </row>
    <row r="59" spans="4:5" ht="15">
      <c r="D59" s="87" t="s">
        <v>82</v>
      </c>
      <c r="E59" s="91">
        <f>(1+E56/100)^(E58/E57)</f>
        <v>1.0015182707031576</v>
      </c>
    </row>
    <row r="61" spans="1:18" ht="4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2" ht="15">
      <c r="A62" s="121" t="s">
        <v>123</v>
      </c>
      <c r="B62" s="6" t="s">
        <v>128</v>
      </c>
    </row>
    <row r="64" spans="2:14" ht="15">
      <c r="B64" s="179" t="s">
        <v>4</v>
      </c>
      <c r="C64" s="180"/>
      <c r="D64" s="181"/>
      <c r="F64" s="179" t="s">
        <v>5</v>
      </c>
      <c r="G64" s="180"/>
      <c r="H64" s="181"/>
      <c r="J64" s="179" t="s">
        <v>106</v>
      </c>
      <c r="K64" s="180"/>
      <c r="L64" s="181"/>
      <c r="N64" t="s">
        <v>95</v>
      </c>
    </row>
    <row r="65" spans="2:12" ht="15">
      <c r="B65" s="25"/>
      <c r="D65" s="26"/>
      <c r="F65" s="25"/>
      <c r="H65" s="26"/>
      <c r="J65" s="25"/>
      <c r="L65" s="26"/>
    </row>
    <row r="66" spans="2:18" ht="15">
      <c r="B66" s="25" t="s">
        <v>0</v>
      </c>
      <c r="C66">
        <v>8.5</v>
      </c>
      <c r="D66" s="27" t="s">
        <v>3</v>
      </c>
      <c r="F66" s="25" t="s">
        <v>0</v>
      </c>
      <c r="G66">
        <v>11.3</v>
      </c>
      <c r="H66" s="27" t="s">
        <v>3</v>
      </c>
      <c r="J66" s="25" t="s">
        <v>7</v>
      </c>
      <c r="K66">
        <v>9.2</v>
      </c>
      <c r="L66" s="27" t="s">
        <v>3</v>
      </c>
      <c r="N66" s="33" t="s">
        <v>94</v>
      </c>
      <c r="O66" s="109">
        <v>123</v>
      </c>
      <c r="P66" s="109" t="s">
        <v>2</v>
      </c>
      <c r="Q66" s="109">
        <v>8.5</v>
      </c>
      <c r="R66" s="110" t="s">
        <v>96</v>
      </c>
    </row>
    <row r="67" spans="2:18" ht="15">
      <c r="B67" s="25" t="s">
        <v>1</v>
      </c>
      <c r="C67">
        <v>123</v>
      </c>
      <c r="D67" s="28" t="s">
        <v>2</v>
      </c>
      <c r="F67" s="25" t="s">
        <v>1</v>
      </c>
      <c r="G67">
        <v>450</v>
      </c>
      <c r="H67" s="28" t="s">
        <v>6</v>
      </c>
      <c r="J67" s="25" t="s">
        <v>105</v>
      </c>
      <c r="K67" s="29">
        <f>K66/12</f>
        <v>0.7666666666666666</v>
      </c>
      <c r="L67" s="27" t="s">
        <v>8</v>
      </c>
      <c r="N67" s="111" t="s">
        <v>92</v>
      </c>
      <c r="O67" s="112">
        <v>450</v>
      </c>
      <c r="P67" s="112" t="s">
        <v>6</v>
      </c>
      <c r="Q67" s="112">
        <v>11.3</v>
      </c>
      <c r="R67" s="113" t="s">
        <v>96</v>
      </c>
    </row>
    <row r="68" spans="2:18" ht="15">
      <c r="B68" s="25"/>
      <c r="D68" s="26"/>
      <c r="F68" s="25"/>
      <c r="H68" s="26"/>
      <c r="J68" s="25" t="s">
        <v>1</v>
      </c>
      <c r="K68">
        <v>135</v>
      </c>
      <c r="L68" s="28" t="s">
        <v>6</v>
      </c>
      <c r="N68" s="36" t="s">
        <v>93</v>
      </c>
      <c r="O68" s="114">
        <v>135</v>
      </c>
      <c r="P68" s="114" t="s">
        <v>6</v>
      </c>
      <c r="Q68" s="114">
        <v>9.2</v>
      </c>
      <c r="R68" s="115" t="s">
        <v>96</v>
      </c>
    </row>
    <row r="69" spans="2:12" ht="15">
      <c r="B69" s="30" t="str">
        <f>"tx("&amp;C67&amp;"du)"</f>
        <v>tx(123du)</v>
      </c>
      <c r="C69" s="1">
        <f>((1+C66/100)^(C67/252)-1)*100</f>
        <v>4.0622199669615</v>
      </c>
      <c r="D69" s="31"/>
      <c r="F69" s="30" t="str">
        <f>"tx("&amp;G67&amp;"dc)"</f>
        <v>tx(450dc)</v>
      </c>
      <c r="G69" s="1">
        <f>((1+G66/100)^(G67/360)-1)*100</f>
        <v>14.319141772485366</v>
      </c>
      <c r="H69" s="31"/>
      <c r="J69" s="25"/>
      <c r="L69" s="26"/>
    </row>
    <row r="70" spans="10:12" ht="15">
      <c r="J70" s="30" t="str">
        <f>"tx("&amp;K68&amp;"dc)"</f>
        <v>tx(135dc)</v>
      </c>
      <c r="K70" s="1">
        <f>((1+K67/100)^(K68/180)-1)*100</f>
        <v>0.5744507110517771</v>
      </c>
      <c r="L70" s="31"/>
    </row>
    <row r="72" spans="1:19" ht="4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4" ht="15">
      <c r="A73" s="121" t="s">
        <v>124</v>
      </c>
      <c r="B73" s="6" t="s">
        <v>20</v>
      </c>
      <c r="N73" t="s">
        <v>97</v>
      </c>
    </row>
    <row r="74" ht="15">
      <c r="N74" t="s">
        <v>99</v>
      </c>
    </row>
    <row r="75" spans="2:16" ht="15">
      <c r="B75" s="33" t="s">
        <v>9</v>
      </c>
      <c r="C75" s="34">
        <v>8.4</v>
      </c>
      <c r="D75" s="35" t="s">
        <v>3</v>
      </c>
      <c r="N75" s="112" t="s">
        <v>13</v>
      </c>
      <c r="O75" s="112">
        <v>8.5</v>
      </c>
      <c r="P75" s="112" t="s">
        <v>96</v>
      </c>
    </row>
    <row r="76" spans="2:16" ht="15">
      <c r="B76" s="36" t="s">
        <v>10</v>
      </c>
      <c r="C76" s="37">
        <v>12</v>
      </c>
      <c r="D76" s="31" t="s">
        <v>11</v>
      </c>
      <c r="N76" s="112" t="s">
        <v>14</v>
      </c>
      <c r="O76" s="112">
        <v>5.5</v>
      </c>
      <c r="P76" s="112" t="s">
        <v>96</v>
      </c>
    </row>
    <row r="77" spans="14:16" ht="15">
      <c r="N77" s="112" t="s">
        <v>98</v>
      </c>
      <c r="O77" s="112">
        <v>6.5</v>
      </c>
      <c r="P77" s="112" t="s">
        <v>96</v>
      </c>
    </row>
    <row r="78" spans="2:12" ht="15">
      <c r="B78" s="33" t="s">
        <v>12</v>
      </c>
      <c r="C78" s="35">
        <v>0</v>
      </c>
      <c r="E78" s="33" t="s">
        <v>13</v>
      </c>
      <c r="F78" s="35">
        <v>8.5</v>
      </c>
      <c r="H78" s="33" t="s">
        <v>14</v>
      </c>
      <c r="I78" s="35">
        <v>5.5</v>
      </c>
      <c r="K78" s="33" t="s">
        <v>15</v>
      </c>
      <c r="L78" s="35">
        <v>6.5</v>
      </c>
    </row>
    <row r="79" spans="2:13" ht="15">
      <c r="B79" s="38" t="s">
        <v>16</v>
      </c>
      <c r="C79" s="39">
        <f>C75+C76/100</f>
        <v>8.52</v>
      </c>
      <c r="D79" t="s">
        <v>3</v>
      </c>
      <c r="E79" s="38" t="s">
        <v>17</v>
      </c>
      <c r="F79" s="39">
        <f>ROUND((((1+$C$79/100)/(1+F78/100)-1)*100),2)</f>
        <v>0.02</v>
      </c>
      <c r="G79" t="s">
        <v>26</v>
      </c>
      <c r="H79" s="38" t="s">
        <v>18</v>
      </c>
      <c r="I79" s="39">
        <f>ROUND((((1+$C$79/100)/(1+I78/100)-1)*100),2)</f>
        <v>2.86</v>
      </c>
      <c r="J79" t="s">
        <v>3</v>
      </c>
      <c r="K79" s="38" t="s">
        <v>19</v>
      </c>
      <c r="L79" s="39">
        <f>ROUND((((1+$C$79/100)/(1+L78/100)-1)*100),2)</f>
        <v>1.9</v>
      </c>
      <c r="M79" t="s">
        <v>3</v>
      </c>
    </row>
    <row r="81" spans="1:19" ht="4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4" ht="15">
      <c r="A82" s="121" t="s">
        <v>125</v>
      </c>
      <c r="B82" s="6" t="s">
        <v>21</v>
      </c>
      <c r="N82" t="s">
        <v>100</v>
      </c>
    </row>
    <row r="83" spans="6:13" ht="15">
      <c r="F83" s="40" t="s">
        <v>22</v>
      </c>
      <c r="M83" s="117" t="s">
        <v>107</v>
      </c>
    </row>
    <row r="84" spans="6:16" ht="15">
      <c r="F84" s="41">
        <v>95</v>
      </c>
      <c r="N84" s="116" t="s">
        <v>23</v>
      </c>
      <c r="O84" s="116" t="s">
        <v>22</v>
      </c>
      <c r="P84" s="116" t="s">
        <v>28</v>
      </c>
    </row>
    <row r="85" spans="3:16" ht="15">
      <c r="C85" s="42" t="s">
        <v>25</v>
      </c>
      <c r="D85" s="43">
        <f>ROUND((((F84/B90)^(252/F88)-1)*100),2)</f>
        <v>-14.11</v>
      </c>
      <c r="E85" t="s">
        <v>3</v>
      </c>
      <c r="M85">
        <v>49.27</v>
      </c>
      <c r="N85" s="116">
        <v>35</v>
      </c>
      <c r="O85" s="116">
        <v>40</v>
      </c>
      <c r="P85" s="116">
        <v>84</v>
      </c>
    </row>
    <row r="86" spans="13:16" ht="15">
      <c r="M86">
        <v>5.14</v>
      </c>
      <c r="N86" s="116">
        <v>90</v>
      </c>
      <c r="O86" s="116">
        <v>100</v>
      </c>
      <c r="P86" s="116">
        <v>530</v>
      </c>
    </row>
    <row r="87" spans="6:16" ht="15">
      <c r="F87" s="40" t="s">
        <v>24</v>
      </c>
      <c r="M87">
        <v>-14.11</v>
      </c>
      <c r="N87" s="116">
        <v>100</v>
      </c>
      <c r="O87" s="116">
        <v>95</v>
      </c>
      <c r="P87" s="116">
        <v>85</v>
      </c>
    </row>
    <row r="88" spans="6:16" ht="15">
      <c r="F88" s="41">
        <v>85</v>
      </c>
      <c r="G88" t="s">
        <v>2</v>
      </c>
      <c r="N88" s="59"/>
      <c r="O88" s="59"/>
      <c r="P88" s="59"/>
    </row>
    <row r="89" ht="15">
      <c r="B89" s="40" t="s">
        <v>23</v>
      </c>
    </row>
    <row r="90" ht="15">
      <c r="B90" s="41">
        <v>100</v>
      </c>
    </row>
    <row r="92" spans="1:19" ht="4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15" ht="15">
      <c r="A93" s="121" t="s">
        <v>126</v>
      </c>
      <c r="B93" s="6" t="s">
        <v>27</v>
      </c>
      <c r="O93" t="s">
        <v>101</v>
      </c>
    </row>
    <row r="94" spans="8:13" ht="15">
      <c r="H94" s="6"/>
      <c r="I94" s="9">
        <f>C99</f>
        <v>83</v>
      </c>
      <c r="L94" s="29" t="s">
        <v>131</v>
      </c>
      <c r="M94" s="9">
        <v>92</v>
      </c>
    </row>
    <row r="95" spans="3:15" ht="15">
      <c r="C95" s="44" t="s">
        <v>28</v>
      </c>
      <c r="D95" s="45" t="s">
        <v>29</v>
      </c>
      <c r="E95" s="46" t="s">
        <v>30</v>
      </c>
      <c r="G95" s="47" t="s">
        <v>31</v>
      </c>
      <c r="H95" s="153">
        <f>D99</f>
        <v>12.73</v>
      </c>
      <c r="I95" s="6"/>
      <c r="O95" s="116" t="s">
        <v>102</v>
      </c>
    </row>
    <row r="96" spans="3:15" ht="15">
      <c r="C96" s="25">
        <v>21</v>
      </c>
      <c r="D96" s="151">
        <v>11.79</v>
      </c>
      <c r="E96" s="4">
        <f>D96</f>
        <v>11.79</v>
      </c>
      <c r="I96" s="182">
        <f>C100</f>
        <v>104</v>
      </c>
      <c r="J96" s="183"/>
      <c r="L96" s="124" t="s">
        <v>31</v>
      </c>
      <c r="M96" s="10">
        <f>H95</f>
        <v>12.73</v>
      </c>
      <c r="O96" s="116" t="s">
        <v>103</v>
      </c>
    </row>
    <row r="97" spans="3:15" ht="15">
      <c r="C97" s="25">
        <v>40</v>
      </c>
      <c r="D97" s="151">
        <v>12.06</v>
      </c>
      <c r="E97" s="4">
        <v>12.36</v>
      </c>
      <c r="F97" t="s">
        <v>178</v>
      </c>
      <c r="G97" s="47" t="s">
        <v>32</v>
      </c>
      <c r="H97" s="153">
        <f>D100</f>
        <v>13.08</v>
      </c>
      <c r="I97" s="6"/>
      <c r="J97" s="6"/>
      <c r="O97" s="116" t="s">
        <v>104</v>
      </c>
    </row>
    <row r="98" spans="3:14" ht="15">
      <c r="C98" s="25">
        <v>62</v>
      </c>
      <c r="D98" s="151">
        <v>12.36</v>
      </c>
      <c r="E98" s="4">
        <v>12.91</v>
      </c>
      <c r="F98" t="s">
        <v>102</v>
      </c>
      <c r="H98" s="6"/>
      <c r="I98" s="6"/>
      <c r="J98" s="8">
        <f>I96-I94</f>
        <v>21</v>
      </c>
      <c r="L98" s="124" t="s">
        <v>30</v>
      </c>
      <c r="M98" s="10">
        <f>H99</f>
        <v>14.47</v>
      </c>
      <c r="N98" s="8">
        <f>M94-I94</f>
        <v>9</v>
      </c>
    </row>
    <row r="99" spans="3:10" ht="15">
      <c r="C99" s="25">
        <v>83</v>
      </c>
      <c r="D99" s="151">
        <v>12.73</v>
      </c>
      <c r="E99" s="4">
        <v>13.83</v>
      </c>
      <c r="F99" t="s">
        <v>103</v>
      </c>
      <c r="G99" s="47" t="s">
        <v>30</v>
      </c>
      <c r="H99" s="152">
        <f>ROUND(((((1+H97/100)^(I96/252))/((1+H95/100)^(I94/252)))^(252/(J98))-1)*100,2)</f>
        <v>14.47</v>
      </c>
      <c r="I99" s="6"/>
      <c r="J99" s="6"/>
    </row>
    <row r="100" spans="3:13" ht="15">
      <c r="C100" s="38">
        <v>104</v>
      </c>
      <c r="D100" s="3">
        <v>13.08</v>
      </c>
      <c r="E100" s="5">
        <v>14.47</v>
      </c>
      <c r="F100" t="s">
        <v>104</v>
      </c>
      <c r="H100" s="6"/>
      <c r="I100" s="6"/>
      <c r="L100" s="124" t="str">
        <f>CONCATENATE("Taxa (",M94,")du")</f>
        <v>Taxa (92)du</v>
      </c>
      <c r="M100" s="7">
        <f>ROUND((((1+M96/100)^(I94/252)*(1+M98/100)^((M94-I94)/252))^(252/M94)-1)*100,2)</f>
        <v>12.9</v>
      </c>
    </row>
    <row r="102" spans="1:19" ht="4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8" ht="4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4" ht="15">
      <c r="A104" s="121" t="s">
        <v>127</v>
      </c>
      <c r="B104" s="119" t="s">
        <v>9</v>
      </c>
      <c r="C104" s="6"/>
      <c r="E104" s="21" t="s">
        <v>43</v>
      </c>
      <c r="N104" s="21" t="s">
        <v>53</v>
      </c>
    </row>
    <row r="105" spans="5:19" ht="15">
      <c r="E105" s="20" t="s">
        <v>51</v>
      </c>
      <c r="G105" s="40" t="s">
        <v>34</v>
      </c>
      <c r="J105" s="40" t="s">
        <v>37</v>
      </c>
      <c r="N105" s="20" t="s">
        <v>52</v>
      </c>
      <c r="P105" s="40" t="s">
        <v>34</v>
      </c>
      <c r="S105" s="40" t="s">
        <v>37</v>
      </c>
    </row>
    <row r="106" spans="7:20" ht="15">
      <c r="G106" s="17">
        <v>100000</v>
      </c>
      <c r="J106" s="57">
        <f>J3</f>
        <v>11.1</v>
      </c>
      <c r="K106" t="s">
        <v>3</v>
      </c>
      <c r="P106" s="17">
        <v>100000</v>
      </c>
      <c r="S106" s="57">
        <f>S3</f>
        <v>11.1</v>
      </c>
      <c r="T106" t="s">
        <v>3</v>
      </c>
    </row>
    <row r="108" spans="9:19" ht="15">
      <c r="I108" s="176" t="s">
        <v>38</v>
      </c>
      <c r="J108" s="177"/>
      <c r="R108" s="47" t="s">
        <v>54</v>
      </c>
      <c r="S108" s="49"/>
    </row>
    <row r="109" spans="1:19" ht="15">
      <c r="A109" s="6"/>
      <c r="D109" s="13" t="s">
        <v>35</v>
      </c>
      <c r="E109" s="58">
        <f>E4</f>
        <v>13.06</v>
      </c>
      <c r="F109" t="s">
        <v>3</v>
      </c>
      <c r="I109" s="51" t="s">
        <v>46</v>
      </c>
      <c r="J109" s="16">
        <f>G106*E118</f>
        <v>9976999.37240602</v>
      </c>
      <c r="M109" s="22" t="s">
        <v>9</v>
      </c>
      <c r="N109" s="58">
        <f>N4</f>
        <v>11.14</v>
      </c>
      <c r="O109" t="s">
        <v>3</v>
      </c>
      <c r="R109" s="51" t="s">
        <v>46</v>
      </c>
      <c r="S109" s="16">
        <f>N116</f>
        <v>9761906.240636256</v>
      </c>
    </row>
    <row r="110" spans="9:19" ht="15">
      <c r="I110" s="38" t="s">
        <v>47</v>
      </c>
      <c r="J110" s="53">
        <f>(1+J106/100)^(G112/252)*E116</f>
        <v>9605371.506198458</v>
      </c>
      <c r="R110" s="38" t="s">
        <v>47</v>
      </c>
      <c r="S110" s="53">
        <f>(1+S106/100)^((G112-P112)/252)*E116</f>
        <v>9398988.25518245</v>
      </c>
    </row>
    <row r="111" spans="7:16" ht="15">
      <c r="G111" s="40" t="s">
        <v>24</v>
      </c>
      <c r="P111" s="40" t="s">
        <v>24</v>
      </c>
    </row>
    <row r="112" spans="7:19" ht="15">
      <c r="G112" s="57">
        <f>G9</f>
        <v>547</v>
      </c>
      <c r="H112" t="s">
        <v>2</v>
      </c>
      <c r="I112" s="42" t="s">
        <v>48</v>
      </c>
      <c r="J112" s="54">
        <f>-(J109-J110)</f>
        <v>-371627.8662075624</v>
      </c>
      <c r="P112" s="57">
        <f>P9</f>
        <v>52</v>
      </c>
      <c r="Q112" t="s">
        <v>2</v>
      </c>
      <c r="R112" s="42" t="s">
        <v>48</v>
      </c>
      <c r="S112" s="54">
        <f>-(S109-S110)</f>
        <v>-362917.98545380495</v>
      </c>
    </row>
    <row r="114" spans="4:14" ht="15">
      <c r="D114" s="47" t="s">
        <v>36</v>
      </c>
      <c r="E114" s="15">
        <f>ROUND(G106/(1+E109/100)^(G112/252),2)</f>
        <v>76610.04</v>
      </c>
      <c r="M114" s="47" t="s">
        <v>36</v>
      </c>
      <c r="N114" s="15">
        <f>ROUND(P106/(1+N109/100)^(P112/252),2)</f>
        <v>97844.11</v>
      </c>
    </row>
    <row r="115" spans="4:13" ht="15">
      <c r="D115" s="59"/>
      <c r="M115" s="59"/>
    </row>
    <row r="116" spans="4:19" ht="15">
      <c r="D116" s="47" t="s">
        <v>44</v>
      </c>
      <c r="E116" s="15">
        <f>E15</f>
        <v>7643383.21</v>
      </c>
      <c r="I116" s="18" t="s">
        <v>50</v>
      </c>
      <c r="J116" s="19">
        <f>J9+J112</f>
        <v>23000.62759397924</v>
      </c>
      <c r="M116" s="47" t="s">
        <v>44</v>
      </c>
      <c r="N116" s="15">
        <f>N114*N118</f>
        <v>9761906.240636256</v>
      </c>
      <c r="R116" s="18" t="s">
        <v>57</v>
      </c>
      <c r="S116" s="19">
        <f>S9+S112</f>
        <v>20688.96936374344</v>
      </c>
    </row>
    <row r="117" spans="4:13" ht="15">
      <c r="D117" s="59"/>
      <c r="M117" s="59"/>
    </row>
    <row r="118" spans="4:14" ht="15">
      <c r="D118" s="47" t="s">
        <v>45</v>
      </c>
      <c r="E118" s="56">
        <f>E116/E114</f>
        <v>99.7699937240602</v>
      </c>
      <c r="M118" s="47" t="s">
        <v>45</v>
      </c>
      <c r="N118" s="56">
        <f>E118</f>
        <v>99.7699937240602</v>
      </c>
    </row>
    <row r="119" ht="15">
      <c r="B119" s="6"/>
    </row>
    <row r="120" spans="1:18" ht="4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2" ht="15">
      <c r="A121" s="121" t="s">
        <v>129</v>
      </c>
      <c r="B121" s="6" t="s">
        <v>130</v>
      </c>
    </row>
    <row r="123" ht="15">
      <c r="L123">
        <v>3</v>
      </c>
    </row>
    <row r="125" spans="12:13" ht="15">
      <c r="L125" s="119" t="s">
        <v>108</v>
      </c>
      <c r="M125" s="119" t="s">
        <v>109</v>
      </c>
    </row>
    <row r="126" spans="11:21" ht="15">
      <c r="K126">
        <v>0</v>
      </c>
      <c r="L126" s="120">
        <v>40478</v>
      </c>
      <c r="M126" s="118">
        <f>SUM(N126:U126)</f>
        <v>111.59489224898863</v>
      </c>
      <c r="N126" s="68">
        <f aca="true" t="shared" si="6" ref="N126:N157">$K$47/(1+$L$123/100)^(($J$47-K126)/252)</f>
        <v>2.9297203314446754</v>
      </c>
      <c r="O126" s="68">
        <f aca="true" t="shared" si="7" ref="O126:O189">$K$48/(1+$L$123/100)^(($J$48-K126)/252)</f>
        <v>2.8870778446369436</v>
      </c>
      <c r="P126" s="68">
        <f aca="true" t="shared" si="8" ref="P126:P189">$K$49/(1+$L$123/100)^(($J$49-K126)/252)</f>
        <v>2.8440550530854334</v>
      </c>
      <c r="Q126" s="68">
        <f aca="true" t="shared" si="9" ref="Q126:Q189">$K$50/(1+$L$123/100)^(($J$50-K126)/252)</f>
        <v>2.8023307125161803</v>
      </c>
      <c r="R126" s="68">
        <f aca="true" t="shared" si="10" ref="R126:R189">$K$51/(1+$L$123/100)^(($J$51-K126)/252)</f>
        <v>2.7612184981411976</v>
      </c>
      <c r="S126" s="68">
        <f aca="true" t="shared" si="11" ref="S126:S189">$K$52/(1+$L$123/100)^(($J$52-K126)/252)</f>
        <v>2.7207094296273597</v>
      </c>
      <c r="T126" s="68">
        <f aca="true" t="shared" si="12" ref="T126:T189">$K$53/(1+$L$123/100)^(($J$53-K126)/252)</f>
        <v>2.679537158506829</v>
      </c>
      <c r="U126" s="68">
        <f aca="true" t="shared" si="13" ref="U126:U189">$K$54/(1+$L$123/100)^(($J$54-K126)/252)</f>
        <v>91.97024322103</v>
      </c>
    </row>
    <row r="127" spans="11:21" ht="15">
      <c r="K127">
        <f>K126+1</f>
        <v>1</v>
      </c>
      <c r="L127" s="120">
        <f>L126+1</f>
        <v>40479</v>
      </c>
      <c r="M127" s="118">
        <f>SUM(N127:U127)</f>
        <v>111.60798274429439</v>
      </c>
      <c r="N127" s="68">
        <f t="shared" si="6"/>
        <v>2.9300639985200503</v>
      </c>
      <c r="O127" s="68">
        <f t="shared" si="7"/>
        <v>2.8874165095902486</v>
      </c>
      <c r="P127" s="68">
        <f t="shared" si="8"/>
        <v>2.84438867130551</v>
      </c>
      <c r="Q127" s="68">
        <f t="shared" si="9"/>
        <v>2.802659436316151</v>
      </c>
      <c r="R127" s="68">
        <f t="shared" si="10"/>
        <v>2.7615423993257378</v>
      </c>
      <c r="S127" s="68">
        <f t="shared" si="11"/>
        <v>2.7210285789477195</v>
      </c>
      <c r="T127" s="68">
        <f t="shared" si="12"/>
        <v>2.679851478166879</v>
      </c>
      <c r="U127" s="68">
        <f t="shared" si="13"/>
        <v>91.9810316721221</v>
      </c>
    </row>
    <row r="128" spans="11:21" ht="15">
      <c r="K128">
        <f aca="true" t="shared" si="14" ref="K128:K191">K127+1</f>
        <v>2</v>
      </c>
      <c r="L128" s="120">
        <f aca="true" t="shared" si="15" ref="L128:L191">L127+1</f>
        <v>40480</v>
      </c>
      <c r="M128" s="118">
        <f aca="true" t="shared" si="16" ref="M128:M191">SUM(N128:U128)</f>
        <v>111.62107477516388</v>
      </c>
      <c r="N128" s="68">
        <f t="shared" si="6"/>
        <v>2.93040770590885</v>
      </c>
      <c r="O128" s="68">
        <f t="shared" si="7"/>
        <v>2.8877552142702108</v>
      </c>
      <c r="P128" s="68">
        <f t="shared" si="8"/>
        <v>2.844722328660243</v>
      </c>
      <c r="Q128" s="68">
        <f t="shared" si="9"/>
        <v>2.802988198676644</v>
      </c>
      <c r="R128" s="68">
        <f t="shared" si="10"/>
        <v>2.76186633850509</v>
      </c>
      <c r="S128" s="68">
        <f t="shared" si="11"/>
        <v>2.7213477657054796</v>
      </c>
      <c r="T128" s="68">
        <f t="shared" si="12"/>
        <v>2.680165834697793</v>
      </c>
      <c r="U128" s="68">
        <f t="shared" si="13"/>
        <v>91.99182138873957</v>
      </c>
    </row>
    <row r="129" spans="11:21" ht="15">
      <c r="K129">
        <f t="shared" si="14"/>
        <v>3</v>
      </c>
      <c r="L129" s="120">
        <f t="shared" si="15"/>
        <v>40481</v>
      </c>
      <c r="M129" s="118">
        <f t="shared" si="16"/>
        <v>111.6341683417772</v>
      </c>
      <c r="N129" s="68">
        <f t="shared" si="6"/>
        <v>2.9307514536158017</v>
      </c>
      <c r="O129" s="68">
        <f t="shared" si="7"/>
        <v>2.8880939586814893</v>
      </c>
      <c r="P129" s="68">
        <f t="shared" si="8"/>
        <v>2.8450560251542227</v>
      </c>
      <c r="Q129" s="68">
        <f t="shared" si="9"/>
        <v>2.803316999602183</v>
      </c>
      <c r="R129" s="68">
        <f t="shared" si="10"/>
        <v>2.762190315683711</v>
      </c>
      <c r="S129" s="68">
        <f t="shared" si="11"/>
        <v>2.721666989905032</v>
      </c>
      <c r="T129" s="68">
        <f t="shared" si="12"/>
        <v>2.6804802281038955</v>
      </c>
      <c r="U129" s="68">
        <f t="shared" si="13"/>
        <v>92.00261237103086</v>
      </c>
    </row>
    <row r="130" spans="11:21" ht="15">
      <c r="K130">
        <f t="shared" si="14"/>
        <v>4</v>
      </c>
      <c r="L130" s="120">
        <f t="shared" si="15"/>
        <v>40482</v>
      </c>
      <c r="M130" s="118">
        <f t="shared" si="16"/>
        <v>111.64726344431452</v>
      </c>
      <c r="N130" s="68">
        <f t="shared" si="6"/>
        <v>2.931095241645637</v>
      </c>
      <c r="O130" s="68">
        <f t="shared" si="7"/>
        <v>2.888432742828746</v>
      </c>
      <c r="P130" s="68">
        <f t="shared" si="8"/>
        <v>2.84538976079204</v>
      </c>
      <c r="Q130" s="68">
        <f t="shared" si="9"/>
        <v>2.803645839097292</v>
      </c>
      <c r="R130" s="68">
        <f t="shared" si="10"/>
        <v>2.762514330866059</v>
      </c>
      <c r="S130" s="68">
        <f t="shared" si="11"/>
        <v>2.721986251550769</v>
      </c>
      <c r="T130" s="68">
        <f t="shared" si="12"/>
        <v>2.680794658389512</v>
      </c>
      <c r="U130" s="68">
        <f t="shared" si="13"/>
        <v>92.01340461914447</v>
      </c>
    </row>
    <row r="131" spans="11:21" ht="15">
      <c r="K131">
        <f t="shared" si="14"/>
        <v>5</v>
      </c>
      <c r="L131" s="120">
        <f t="shared" si="15"/>
        <v>40483</v>
      </c>
      <c r="M131" s="118">
        <f t="shared" si="16"/>
        <v>111.660360082956</v>
      </c>
      <c r="N131" s="68">
        <f t="shared" si="6"/>
        <v>2.9314390700030843</v>
      </c>
      <c r="O131" s="68">
        <f t="shared" si="7"/>
        <v>2.8887715667166405</v>
      </c>
      <c r="P131" s="68">
        <f t="shared" si="8"/>
        <v>2.845723535578288</v>
      </c>
      <c r="Q131" s="68">
        <f t="shared" si="9"/>
        <v>2.803974717166495</v>
      </c>
      <c r="R131" s="68">
        <f t="shared" si="10"/>
        <v>2.7628383840565904</v>
      </c>
      <c r="S131" s="68">
        <f t="shared" si="11"/>
        <v>2.722305550647082</v>
      </c>
      <c r="T131" s="68">
        <f t="shared" si="12"/>
        <v>2.6811091255589687</v>
      </c>
      <c r="U131" s="68">
        <f t="shared" si="13"/>
        <v>92.02419813322885</v>
      </c>
    </row>
    <row r="132" spans="11:21" ht="15">
      <c r="K132">
        <f t="shared" si="14"/>
        <v>6</v>
      </c>
      <c r="L132" s="120">
        <f t="shared" si="15"/>
        <v>40484</v>
      </c>
      <c r="M132" s="118">
        <f t="shared" si="16"/>
        <v>111.67345825788183</v>
      </c>
      <c r="N132" s="68">
        <f t="shared" si="6"/>
        <v>2.9317829386928755</v>
      </c>
      <c r="O132" s="68">
        <f t="shared" si="7"/>
        <v>2.8891104303498363</v>
      </c>
      <c r="P132" s="68">
        <f t="shared" si="8"/>
        <v>2.8460573495175576</v>
      </c>
      <c r="Q132" s="68">
        <f t="shared" si="9"/>
        <v>2.8043036338143166</v>
      </c>
      <c r="R132" s="68">
        <f t="shared" si="10"/>
        <v>2.7631624752597643</v>
      </c>
      <c r="S132" s="68">
        <f t="shared" si="11"/>
        <v>2.722624887198365</v>
      </c>
      <c r="T132" s="68">
        <f t="shared" si="12"/>
        <v>2.6814236296165923</v>
      </c>
      <c r="U132" s="68">
        <f t="shared" si="13"/>
        <v>92.03499291343252</v>
      </c>
    </row>
    <row r="133" spans="11:21" ht="15">
      <c r="K133">
        <f t="shared" si="14"/>
        <v>7</v>
      </c>
      <c r="L133" s="120">
        <f t="shared" si="15"/>
        <v>40485</v>
      </c>
      <c r="M133" s="118">
        <f t="shared" si="16"/>
        <v>111.68655796927223</v>
      </c>
      <c r="N133" s="68">
        <f t="shared" si="6"/>
        <v>2.932126847719741</v>
      </c>
      <c r="O133" s="68">
        <f t="shared" si="7"/>
        <v>2.889449333732994</v>
      </c>
      <c r="P133" s="68">
        <f t="shared" si="8"/>
        <v>2.846391202614442</v>
      </c>
      <c r="Q133" s="68">
        <f t="shared" si="9"/>
        <v>2.804632589045282</v>
      </c>
      <c r="R133" s="68">
        <f t="shared" si="10"/>
        <v>2.7634866044800406</v>
      </c>
      <c r="S133" s="68">
        <f t="shared" si="11"/>
        <v>2.722944261209012</v>
      </c>
      <c r="T133" s="68">
        <f t="shared" si="12"/>
        <v>2.68173817056671</v>
      </c>
      <c r="U133" s="68">
        <f t="shared" si="13"/>
        <v>92.045788959904</v>
      </c>
    </row>
    <row r="134" spans="11:21" ht="15">
      <c r="K134">
        <f t="shared" si="14"/>
        <v>8</v>
      </c>
      <c r="L134" s="120">
        <f t="shared" si="15"/>
        <v>40486</v>
      </c>
      <c r="M134" s="118">
        <f t="shared" si="16"/>
        <v>111.69965921730741</v>
      </c>
      <c r="N134" s="68">
        <f t="shared" si="6"/>
        <v>2.9324707970884116</v>
      </c>
      <c r="O134" s="68">
        <f t="shared" si="7"/>
        <v>2.8897882768707777</v>
      </c>
      <c r="P134" s="68">
        <f t="shared" si="8"/>
        <v>2.8467250948735345</v>
      </c>
      <c r="Q134" s="68">
        <f t="shared" si="9"/>
        <v>2.8049615828639185</v>
      </c>
      <c r="R134" s="68">
        <f t="shared" si="10"/>
        <v>2.763810771721878</v>
      </c>
      <c r="S134" s="68">
        <f t="shared" si="11"/>
        <v>2.723263672683416</v>
      </c>
      <c r="T134" s="68">
        <f t="shared" si="12"/>
        <v>2.6820527484136494</v>
      </c>
      <c r="U134" s="68">
        <f t="shared" si="13"/>
        <v>92.05658627279182</v>
      </c>
    </row>
    <row r="135" spans="11:21" ht="15">
      <c r="K135">
        <f t="shared" si="14"/>
        <v>9</v>
      </c>
      <c r="L135" s="120">
        <f t="shared" si="15"/>
        <v>40487</v>
      </c>
      <c r="M135" s="118">
        <f t="shared" si="16"/>
        <v>111.71276200216764</v>
      </c>
      <c r="N135" s="68">
        <f t="shared" si="6"/>
        <v>2.932814786803622</v>
      </c>
      <c r="O135" s="68">
        <f t="shared" si="7"/>
        <v>2.89012725976785</v>
      </c>
      <c r="P135" s="68">
        <f t="shared" si="8"/>
        <v>2.8470590262994286</v>
      </c>
      <c r="Q135" s="68">
        <f t="shared" si="9"/>
        <v>2.8052906152747514</v>
      </c>
      <c r="R135" s="68">
        <f t="shared" si="10"/>
        <v>2.7641349769897365</v>
      </c>
      <c r="S135" s="68">
        <f t="shared" si="11"/>
        <v>2.7235831216259725</v>
      </c>
      <c r="T135" s="68">
        <f t="shared" si="12"/>
        <v>2.6823673631617377</v>
      </c>
      <c r="U135" s="68">
        <f t="shared" si="13"/>
        <v>92.06738485224454</v>
      </c>
    </row>
    <row r="136" spans="11:21" ht="15">
      <c r="K136">
        <f t="shared" si="14"/>
        <v>10</v>
      </c>
      <c r="L136" s="120">
        <f t="shared" si="15"/>
        <v>40488</v>
      </c>
      <c r="M136" s="118">
        <f t="shared" si="16"/>
        <v>111.72586632403322</v>
      </c>
      <c r="N136" s="68">
        <f t="shared" si="6"/>
        <v>2.9331588168701024</v>
      </c>
      <c r="O136" s="68">
        <f t="shared" si="7"/>
        <v>2.890466282428875</v>
      </c>
      <c r="P136" s="68">
        <f t="shared" si="8"/>
        <v>2.8473929968967195</v>
      </c>
      <c r="Q136" s="68">
        <f t="shared" si="9"/>
        <v>2.805619686282308</v>
      </c>
      <c r="R136" s="68">
        <f t="shared" si="10"/>
        <v>2.764459220288077</v>
      </c>
      <c r="S136" s="68">
        <f t="shared" si="11"/>
        <v>2.723902608041076</v>
      </c>
      <c r="T136" s="68">
        <f t="shared" si="12"/>
        <v>2.682682014815305</v>
      </c>
      <c r="U136" s="68">
        <f t="shared" si="13"/>
        <v>92.07818469841075</v>
      </c>
    </row>
    <row r="137" spans="11:21" ht="15">
      <c r="K137">
        <f t="shared" si="14"/>
        <v>11</v>
      </c>
      <c r="L137" s="120">
        <f t="shared" si="15"/>
        <v>40489</v>
      </c>
      <c r="M137" s="118">
        <f t="shared" si="16"/>
        <v>111.73897218308437</v>
      </c>
      <c r="N137" s="68">
        <f t="shared" si="6"/>
        <v>2.9335028872925877</v>
      </c>
      <c r="O137" s="68">
        <f t="shared" si="7"/>
        <v>2.890805344858517</v>
      </c>
      <c r="P137" s="68">
        <f t="shared" si="8"/>
        <v>2.8477270066700022</v>
      </c>
      <c r="Q137" s="68">
        <f t="shared" si="9"/>
        <v>2.805948795891116</v>
      </c>
      <c r="R137" s="68">
        <f t="shared" si="10"/>
        <v>2.764783501621361</v>
      </c>
      <c r="S137" s="68">
        <f t="shared" si="11"/>
        <v>2.724222131933123</v>
      </c>
      <c r="T137" s="68">
        <f t="shared" si="12"/>
        <v>2.68299670337868</v>
      </c>
      <c r="U137" s="68">
        <f t="shared" si="13"/>
        <v>92.08898581143899</v>
      </c>
    </row>
    <row r="138" spans="11:21" ht="15">
      <c r="K138">
        <f t="shared" si="14"/>
        <v>12</v>
      </c>
      <c r="L138" s="120">
        <f t="shared" si="15"/>
        <v>40490</v>
      </c>
      <c r="M138" s="118">
        <f t="shared" si="16"/>
        <v>111.75207957950153</v>
      </c>
      <c r="N138" s="68">
        <f t="shared" si="6"/>
        <v>2.933846998075811</v>
      </c>
      <c r="O138" s="68">
        <f t="shared" si="7"/>
        <v>2.891144447061442</v>
      </c>
      <c r="P138" s="68">
        <f t="shared" si="8"/>
        <v>2.8480610556238717</v>
      </c>
      <c r="Q138" s="68">
        <f t="shared" si="9"/>
        <v>2.806277944105704</v>
      </c>
      <c r="R138" s="68">
        <f t="shared" si="10"/>
        <v>2.7651078209940496</v>
      </c>
      <c r="S138" s="68">
        <f t="shared" si="11"/>
        <v>2.724541693306508</v>
      </c>
      <c r="T138" s="68">
        <f t="shared" si="12"/>
        <v>2.683311428856192</v>
      </c>
      <c r="U138" s="68">
        <f t="shared" si="13"/>
        <v>92.09978819147794</v>
      </c>
    </row>
    <row r="139" spans="11:21" ht="15">
      <c r="K139">
        <f t="shared" si="14"/>
        <v>13</v>
      </c>
      <c r="L139" s="120">
        <f t="shared" si="15"/>
        <v>40491</v>
      </c>
      <c r="M139" s="118">
        <f t="shared" si="16"/>
        <v>111.76518851346492</v>
      </c>
      <c r="N139" s="68">
        <f t="shared" si="6"/>
        <v>2.934191149224508</v>
      </c>
      <c r="O139" s="68">
        <f t="shared" si="7"/>
        <v>2.891483589042314</v>
      </c>
      <c r="P139" s="68">
        <f t="shared" si="8"/>
        <v>2.8483951437629234</v>
      </c>
      <c r="Q139" s="68">
        <f t="shared" si="9"/>
        <v>2.806607130930599</v>
      </c>
      <c r="R139" s="68">
        <f t="shared" si="10"/>
        <v>2.7654321784106055</v>
      </c>
      <c r="S139" s="68">
        <f t="shared" si="11"/>
        <v>2.7248612921656306</v>
      </c>
      <c r="T139" s="68">
        <f t="shared" si="12"/>
        <v>2.6836261912521713</v>
      </c>
      <c r="U139" s="68">
        <f t="shared" si="13"/>
        <v>92.11059183867617</v>
      </c>
    </row>
    <row r="140" spans="11:21" ht="15">
      <c r="K140">
        <f t="shared" si="14"/>
        <v>14</v>
      </c>
      <c r="L140" s="120">
        <f t="shared" si="15"/>
        <v>40492</v>
      </c>
      <c r="M140" s="118">
        <f t="shared" si="16"/>
        <v>111.77829898515495</v>
      </c>
      <c r="N140" s="68">
        <f t="shared" si="6"/>
        <v>2.934535340743412</v>
      </c>
      <c r="O140" s="68">
        <f t="shared" si="7"/>
        <v>2.8918227708058004</v>
      </c>
      <c r="P140" s="68">
        <f t="shared" si="8"/>
        <v>2.848729271091755</v>
      </c>
      <c r="Q140" s="68">
        <f t="shared" si="9"/>
        <v>2.806936356370332</v>
      </c>
      <c r="R140" s="68">
        <f t="shared" si="10"/>
        <v>2.76575657387549</v>
      </c>
      <c r="S140" s="68">
        <f t="shared" si="11"/>
        <v>2.725180928514885</v>
      </c>
      <c r="T140" s="68">
        <f t="shared" si="12"/>
        <v>2.683940990570949</v>
      </c>
      <c r="U140" s="68">
        <f t="shared" si="13"/>
        <v>92.12139675318232</v>
      </c>
    </row>
    <row r="141" spans="11:21" ht="15">
      <c r="K141">
        <f t="shared" si="14"/>
        <v>15</v>
      </c>
      <c r="L141" s="120">
        <f t="shared" si="15"/>
        <v>40493</v>
      </c>
      <c r="M141" s="118">
        <f t="shared" si="16"/>
        <v>111.791410994752</v>
      </c>
      <c r="N141" s="68">
        <f t="shared" si="6"/>
        <v>2.93487957263726</v>
      </c>
      <c r="O141" s="68">
        <f t="shared" si="7"/>
        <v>2.892161992356567</v>
      </c>
      <c r="P141" s="68">
        <f t="shared" si="8"/>
        <v>2.8490634376149626</v>
      </c>
      <c r="Q141" s="68">
        <f t="shared" si="9"/>
        <v>2.807265620429431</v>
      </c>
      <c r="R141" s="68">
        <f t="shared" si="10"/>
        <v>2.766081007393168</v>
      </c>
      <c r="S141" s="68">
        <f t="shared" si="11"/>
        <v>2.725500602358671</v>
      </c>
      <c r="T141" s="68">
        <f t="shared" si="12"/>
        <v>2.6842558268168553</v>
      </c>
      <c r="U141" s="68">
        <f t="shared" si="13"/>
        <v>92.13220293514509</v>
      </c>
    </row>
    <row r="142" spans="11:21" ht="15">
      <c r="K142">
        <f t="shared" si="14"/>
        <v>16</v>
      </c>
      <c r="L142" s="120">
        <f t="shared" si="15"/>
        <v>40494</v>
      </c>
      <c r="M142" s="118">
        <f t="shared" si="16"/>
        <v>111.80452454243648</v>
      </c>
      <c r="N142" s="68">
        <f t="shared" si="6"/>
        <v>2.935223844910787</v>
      </c>
      <c r="O142" s="68">
        <f t="shared" si="7"/>
        <v>2.892501253699281</v>
      </c>
      <c r="P142" s="68">
        <f t="shared" si="8"/>
        <v>2.849397643337145</v>
      </c>
      <c r="Q142" s="68">
        <f t="shared" si="9"/>
        <v>2.8075949231124273</v>
      </c>
      <c r="R142" s="68">
        <f t="shared" si="10"/>
        <v>2.766405478968102</v>
      </c>
      <c r="S142" s="68">
        <f t="shared" si="11"/>
        <v>2.725820313701386</v>
      </c>
      <c r="T142" s="68">
        <f t="shared" si="12"/>
        <v>2.684570699994223</v>
      </c>
      <c r="U142" s="68">
        <f t="shared" si="13"/>
        <v>92.14301038471314</v>
      </c>
    </row>
    <row r="143" spans="11:21" ht="15">
      <c r="K143">
        <f t="shared" si="14"/>
        <v>17</v>
      </c>
      <c r="L143" s="120">
        <f t="shared" si="15"/>
        <v>40495</v>
      </c>
      <c r="M143" s="118">
        <f t="shared" si="16"/>
        <v>111.81763962838882</v>
      </c>
      <c r="N143" s="68">
        <f t="shared" si="6"/>
        <v>2.9355681575687305</v>
      </c>
      <c r="O143" s="68">
        <f t="shared" si="7"/>
        <v>2.892840554838611</v>
      </c>
      <c r="P143" s="68">
        <f t="shared" si="8"/>
        <v>2.8497318882629</v>
      </c>
      <c r="Q143" s="68">
        <f t="shared" si="9"/>
        <v>2.807924264423851</v>
      </c>
      <c r="R143" s="68">
        <f t="shared" si="10"/>
        <v>2.766729988604757</v>
      </c>
      <c r="S143" s="68">
        <f t="shared" si="11"/>
        <v>2.726140062547428</v>
      </c>
      <c r="T143" s="68">
        <f t="shared" si="12"/>
        <v>2.6848856101073837</v>
      </c>
      <c r="U143" s="68">
        <f t="shared" si="13"/>
        <v>92.15381910203516</v>
      </c>
    </row>
    <row r="144" spans="11:21" ht="15">
      <c r="K144">
        <f t="shared" si="14"/>
        <v>18</v>
      </c>
      <c r="L144" s="120">
        <f t="shared" si="15"/>
        <v>40496</v>
      </c>
      <c r="M144" s="118">
        <f t="shared" si="16"/>
        <v>111.83075625278944</v>
      </c>
      <c r="N144" s="68">
        <f t="shared" si="6"/>
        <v>2.935912510615828</v>
      </c>
      <c r="O144" s="68">
        <f t="shared" si="7"/>
        <v>2.8931798957792245</v>
      </c>
      <c r="P144" s="68">
        <f t="shared" si="8"/>
        <v>2.8500661723968257</v>
      </c>
      <c r="Q144" s="68">
        <f t="shared" si="9"/>
        <v>2.808253644368234</v>
      </c>
      <c r="R144" s="68">
        <f t="shared" si="10"/>
        <v>2.767054536307598</v>
      </c>
      <c r="S144" s="68">
        <f t="shared" si="11"/>
        <v>2.7264598489011984</v>
      </c>
      <c r="T144" s="68">
        <f t="shared" si="12"/>
        <v>2.68520055716067</v>
      </c>
      <c r="U144" s="68">
        <f t="shared" si="13"/>
        <v>92.16462908725987</v>
      </c>
    </row>
    <row r="145" spans="11:21" ht="15">
      <c r="K145">
        <f t="shared" si="14"/>
        <v>19</v>
      </c>
      <c r="L145" s="120">
        <f t="shared" si="15"/>
        <v>40497</v>
      </c>
      <c r="M145" s="118">
        <f t="shared" si="16"/>
        <v>111.8438744158188</v>
      </c>
      <c r="N145" s="68">
        <f t="shared" si="6"/>
        <v>2.936256904056816</v>
      </c>
      <c r="O145" s="68">
        <f t="shared" si="7"/>
        <v>2.8935192765257907</v>
      </c>
      <c r="P145" s="68">
        <f t="shared" si="8"/>
        <v>2.850400495743522</v>
      </c>
      <c r="Q145" s="68">
        <f t="shared" si="9"/>
        <v>2.808583062950108</v>
      </c>
      <c r="R145" s="68">
        <f t="shared" si="10"/>
        <v>2.7673791220810893</v>
      </c>
      <c r="S145" s="68">
        <f t="shared" si="11"/>
        <v>2.726779672767095</v>
      </c>
      <c r="T145" s="68">
        <f t="shared" si="12"/>
        <v>2.6855155411584155</v>
      </c>
      <c r="U145" s="68">
        <f t="shared" si="13"/>
        <v>92.17544034053597</v>
      </c>
    </row>
    <row r="146" spans="11:21" ht="15">
      <c r="K146">
        <f t="shared" si="14"/>
        <v>20</v>
      </c>
      <c r="L146" s="120">
        <f t="shared" si="15"/>
        <v>40498</v>
      </c>
      <c r="M146" s="118">
        <f t="shared" si="16"/>
        <v>111.85699411765742</v>
      </c>
      <c r="N146" s="68">
        <f t="shared" si="6"/>
        <v>2.936601337896434</v>
      </c>
      <c r="O146" s="68">
        <f t="shared" si="7"/>
        <v>2.893858697082979</v>
      </c>
      <c r="P146" s="68">
        <f t="shared" si="8"/>
        <v>2.850734858307588</v>
      </c>
      <c r="Q146" s="68">
        <f t="shared" si="9"/>
        <v>2.808912520174004</v>
      </c>
      <c r="R146" s="68">
        <f t="shared" si="10"/>
        <v>2.7677037459296976</v>
      </c>
      <c r="S146" s="68">
        <f t="shared" si="11"/>
        <v>2.727099534149519</v>
      </c>
      <c r="T146" s="68">
        <f t="shared" si="12"/>
        <v>2.6858305621049534</v>
      </c>
      <c r="U146" s="68">
        <f t="shared" si="13"/>
        <v>92.18625286201225</v>
      </c>
    </row>
    <row r="147" spans="11:21" ht="15">
      <c r="K147">
        <f t="shared" si="14"/>
        <v>21</v>
      </c>
      <c r="L147" s="120">
        <f t="shared" si="15"/>
        <v>40499</v>
      </c>
      <c r="M147" s="118">
        <f t="shared" si="16"/>
        <v>111.87011535848579</v>
      </c>
      <c r="N147" s="68">
        <f t="shared" si="6"/>
        <v>2.9369458121394207</v>
      </c>
      <c r="O147" s="68">
        <f t="shared" si="7"/>
        <v>2.8941981574554587</v>
      </c>
      <c r="P147" s="68">
        <f t="shared" si="8"/>
        <v>2.851069260093625</v>
      </c>
      <c r="Q147" s="68">
        <f t="shared" si="9"/>
        <v>2.809242016044457</v>
      </c>
      <c r="R147" s="68">
        <f t="shared" si="10"/>
        <v>2.7680284078578885</v>
      </c>
      <c r="S147" s="68">
        <f t="shared" si="11"/>
        <v>2.7274194330528707</v>
      </c>
      <c r="T147" s="68">
        <f t="shared" si="12"/>
        <v>2.6861456200046185</v>
      </c>
      <c r="U147" s="68">
        <f t="shared" si="13"/>
        <v>92.19706665183745</v>
      </c>
    </row>
    <row r="148" spans="11:21" ht="15">
      <c r="K148">
        <f t="shared" si="14"/>
        <v>22</v>
      </c>
      <c r="L148" s="120">
        <f t="shared" si="15"/>
        <v>40500</v>
      </c>
      <c r="M148" s="118">
        <f t="shared" si="16"/>
        <v>111.88323813848443</v>
      </c>
      <c r="N148" s="68">
        <f t="shared" si="6"/>
        <v>2.9372903267905155</v>
      </c>
      <c r="O148" s="68">
        <f t="shared" si="7"/>
        <v>2.8945376576479016</v>
      </c>
      <c r="P148" s="68">
        <f t="shared" si="8"/>
        <v>2.8514037011062334</v>
      </c>
      <c r="Q148" s="68">
        <f t="shared" si="9"/>
        <v>2.8095715505659986</v>
      </c>
      <c r="R148" s="68">
        <f t="shared" si="10"/>
        <v>2.7683531078701296</v>
      </c>
      <c r="S148" s="68">
        <f t="shared" si="11"/>
        <v>2.7277393694815526</v>
      </c>
      <c r="T148" s="68">
        <f t="shared" si="12"/>
        <v>2.686460714861745</v>
      </c>
      <c r="U148" s="68">
        <f t="shared" si="13"/>
        <v>92.20788171016035</v>
      </c>
    </row>
    <row r="149" spans="11:21" ht="15">
      <c r="K149">
        <f t="shared" si="14"/>
        <v>23</v>
      </c>
      <c r="L149" s="120">
        <f t="shared" si="15"/>
        <v>40501</v>
      </c>
      <c r="M149" s="118">
        <f t="shared" si="16"/>
        <v>111.8963624578339</v>
      </c>
      <c r="N149" s="68">
        <f t="shared" si="6"/>
        <v>2.9376348818544575</v>
      </c>
      <c r="O149" s="68">
        <f t="shared" si="7"/>
        <v>2.8948771976649774</v>
      </c>
      <c r="P149" s="68">
        <f t="shared" si="8"/>
        <v>2.851738181350015</v>
      </c>
      <c r="Q149" s="68">
        <f t="shared" si="9"/>
        <v>2.809901123743164</v>
      </c>
      <c r="R149" s="68">
        <f t="shared" si="10"/>
        <v>2.768677845970888</v>
      </c>
      <c r="S149" s="68">
        <f t="shared" si="11"/>
        <v>2.728059343439965</v>
      </c>
      <c r="T149" s="68">
        <f t="shared" si="12"/>
        <v>2.686775846680669</v>
      </c>
      <c r="U149" s="68">
        <f t="shared" si="13"/>
        <v>92.21869803712977</v>
      </c>
    </row>
    <row r="150" spans="11:21" ht="15">
      <c r="K150">
        <f t="shared" si="14"/>
        <v>24</v>
      </c>
      <c r="L150" s="120">
        <f t="shared" si="15"/>
        <v>40502</v>
      </c>
      <c r="M150" s="118">
        <f t="shared" si="16"/>
        <v>111.90948831671477</v>
      </c>
      <c r="N150" s="68">
        <f t="shared" si="6"/>
        <v>2.937979477335989</v>
      </c>
      <c r="O150" s="68">
        <f t="shared" si="7"/>
        <v>2.8952167775113584</v>
      </c>
      <c r="P150" s="68">
        <f t="shared" si="8"/>
        <v>2.8520727008295705</v>
      </c>
      <c r="Q150" s="68">
        <f t="shared" si="9"/>
        <v>2.810230735580487</v>
      </c>
      <c r="R150" s="68">
        <f t="shared" si="10"/>
        <v>2.7690026221646318</v>
      </c>
      <c r="S150" s="68">
        <f t="shared" si="11"/>
        <v>2.7283793549325117</v>
      </c>
      <c r="T150" s="68">
        <f t="shared" si="12"/>
        <v>2.6870910154657257</v>
      </c>
      <c r="U150" s="68">
        <f t="shared" si="13"/>
        <v>92.2295156328945</v>
      </c>
    </row>
    <row r="151" spans="11:21" ht="15">
      <c r="K151">
        <f t="shared" si="14"/>
        <v>25</v>
      </c>
      <c r="L151" s="120">
        <f t="shared" si="15"/>
        <v>40503</v>
      </c>
      <c r="M151" s="118">
        <f t="shared" si="16"/>
        <v>111.92261571530766</v>
      </c>
      <c r="N151" s="68">
        <f t="shared" si="6"/>
        <v>2.93832411323985</v>
      </c>
      <c r="O151" s="68">
        <f t="shared" si="7"/>
        <v>2.8955563971917164</v>
      </c>
      <c r="P151" s="68">
        <f t="shared" si="8"/>
        <v>2.8524072595495036</v>
      </c>
      <c r="Q151" s="68">
        <f t="shared" si="9"/>
        <v>2.8105603860825026</v>
      </c>
      <c r="R151" s="68">
        <f t="shared" si="10"/>
        <v>2.769327436455829</v>
      </c>
      <c r="S151" s="68">
        <f t="shared" si="11"/>
        <v>2.7286994039635943</v>
      </c>
      <c r="T151" s="68">
        <f t="shared" si="12"/>
        <v>2.687406221221251</v>
      </c>
      <c r="U151" s="68">
        <f t="shared" si="13"/>
        <v>92.24033449760341</v>
      </c>
    </row>
    <row r="152" spans="11:21" ht="15">
      <c r="K152">
        <f t="shared" si="14"/>
        <v>26</v>
      </c>
      <c r="L152" s="120">
        <f t="shared" si="15"/>
        <v>40504</v>
      </c>
      <c r="M152" s="118">
        <f t="shared" si="16"/>
        <v>111.93574465379314</v>
      </c>
      <c r="N152" s="68">
        <f t="shared" si="6"/>
        <v>2.9386687895707824</v>
      </c>
      <c r="O152" s="68">
        <f t="shared" si="7"/>
        <v>2.8958960567107237</v>
      </c>
      <c r="P152" s="68">
        <f t="shared" si="8"/>
        <v>2.8527418575144177</v>
      </c>
      <c r="Q152" s="68">
        <f t="shared" si="9"/>
        <v>2.810890075253746</v>
      </c>
      <c r="R152" s="68">
        <f t="shared" si="10"/>
        <v>2.7696522888489494</v>
      </c>
      <c r="S152" s="68">
        <f t="shared" si="11"/>
        <v>2.7290194905376173</v>
      </c>
      <c r="T152" s="68">
        <f t="shared" si="12"/>
        <v>2.687721463951582</v>
      </c>
      <c r="U152" s="68">
        <f t="shared" si="13"/>
        <v>92.25115463140531</v>
      </c>
    </row>
    <row r="153" spans="11:21" ht="15">
      <c r="K153">
        <f t="shared" si="14"/>
        <v>27</v>
      </c>
      <c r="L153" s="120">
        <f t="shared" si="15"/>
        <v>40505</v>
      </c>
      <c r="M153" s="118">
        <f t="shared" si="16"/>
        <v>111.94887513235184</v>
      </c>
      <c r="N153" s="68">
        <f t="shared" si="6"/>
        <v>2.9390135063335285</v>
      </c>
      <c r="O153" s="68">
        <f t="shared" si="7"/>
        <v>2.896235756073055</v>
      </c>
      <c r="P153" s="68">
        <f t="shared" si="8"/>
        <v>2.853076494728915</v>
      </c>
      <c r="Q153" s="68">
        <f t="shared" si="9"/>
        <v>2.811219803098754</v>
      </c>
      <c r="R153" s="68">
        <f t="shared" si="10"/>
        <v>2.769977179348461</v>
      </c>
      <c r="S153" s="68">
        <f t="shared" si="11"/>
        <v>2.729339614658984</v>
      </c>
      <c r="T153" s="68">
        <f t="shared" si="12"/>
        <v>2.6880367436610566</v>
      </c>
      <c r="U153" s="68">
        <f t="shared" si="13"/>
        <v>92.26197603444909</v>
      </c>
    </row>
    <row r="154" spans="11:21" ht="15">
      <c r="K154">
        <f t="shared" si="14"/>
        <v>28</v>
      </c>
      <c r="L154" s="120">
        <f t="shared" si="15"/>
        <v>40506</v>
      </c>
      <c r="M154" s="118">
        <f t="shared" si="16"/>
        <v>111.96200715116447</v>
      </c>
      <c r="N154" s="68">
        <f t="shared" si="6"/>
        <v>2.9393582635328315</v>
      </c>
      <c r="O154" s="68">
        <f t="shared" si="7"/>
        <v>2.8965754952833827</v>
      </c>
      <c r="P154" s="68">
        <f t="shared" si="8"/>
        <v>2.8534111711976005</v>
      </c>
      <c r="Q154" s="68">
        <f t="shared" si="9"/>
        <v>2.8115495696220623</v>
      </c>
      <c r="R154" s="68">
        <f t="shared" si="10"/>
        <v>2.7703021079588357</v>
      </c>
      <c r="S154" s="68">
        <f t="shared" si="11"/>
        <v>2.7296597763320993</v>
      </c>
      <c r="T154" s="68">
        <f t="shared" si="12"/>
        <v>2.6883520603540116</v>
      </c>
      <c r="U154" s="68">
        <f t="shared" si="13"/>
        <v>92.27279870688365</v>
      </c>
    </row>
    <row r="155" spans="11:21" ht="15">
      <c r="K155">
        <f t="shared" si="14"/>
        <v>29</v>
      </c>
      <c r="L155" s="120">
        <f t="shared" si="15"/>
        <v>40507</v>
      </c>
      <c r="M155" s="118">
        <f t="shared" si="16"/>
        <v>111.97514071041167</v>
      </c>
      <c r="N155" s="68">
        <f t="shared" si="6"/>
        <v>2.9397030611734345</v>
      </c>
      <c r="O155" s="68">
        <f t="shared" si="7"/>
        <v>2.8969152743463815</v>
      </c>
      <c r="P155" s="68">
        <f t="shared" si="8"/>
        <v>2.853745886925079</v>
      </c>
      <c r="Q155" s="68">
        <f t="shared" si="9"/>
        <v>2.8118793748282087</v>
      </c>
      <c r="R155" s="68">
        <f t="shared" si="10"/>
        <v>2.7706270746845427</v>
      </c>
      <c r="S155" s="68">
        <f t="shared" si="11"/>
        <v>2.7299799755613674</v>
      </c>
      <c r="T155" s="68">
        <f t="shared" si="12"/>
        <v>2.6886674140347857</v>
      </c>
      <c r="U155" s="68">
        <f t="shared" si="13"/>
        <v>92.28362264885786</v>
      </c>
    </row>
    <row r="156" spans="11:21" ht="15">
      <c r="K156">
        <f t="shared" si="14"/>
        <v>30</v>
      </c>
      <c r="L156" s="120">
        <f t="shared" si="15"/>
        <v>40508</v>
      </c>
      <c r="M156" s="118">
        <f t="shared" si="16"/>
        <v>111.98827581027412</v>
      </c>
      <c r="N156" s="68">
        <f t="shared" si="6"/>
        <v>2.94004789926008</v>
      </c>
      <c r="O156" s="68">
        <f t="shared" si="7"/>
        <v>2.897255093266726</v>
      </c>
      <c r="P156" s="68">
        <f t="shared" si="8"/>
        <v>2.854080641915955</v>
      </c>
      <c r="Q156" s="68">
        <f t="shared" si="9"/>
        <v>2.8122092187217307</v>
      </c>
      <c r="R156" s="68">
        <f t="shared" si="10"/>
        <v>2.7709520795300535</v>
      </c>
      <c r="S156" s="68">
        <f t="shared" si="11"/>
        <v>2.730300212351195</v>
      </c>
      <c r="T156" s="68">
        <f t="shared" si="12"/>
        <v>2.6889828047077176</v>
      </c>
      <c r="U156" s="68">
        <f t="shared" si="13"/>
        <v>92.29444786052066</v>
      </c>
    </row>
    <row r="157" spans="11:21" ht="15">
      <c r="K157">
        <f t="shared" si="14"/>
        <v>31</v>
      </c>
      <c r="L157" s="120">
        <f t="shared" si="15"/>
        <v>40509</v>
      </c>
      <c r="M157" s="118">
        <f t="shared" si="16"/>
        <v>112.00141245093259</v>
      </c>
      <c r="N157" s="68">
        <f t="shared" si="6"/>
        <v>2.940392777797515</v>
      </c>
      <c r="O157" s="68">
        <f t="shared" si="7"/>
        <v>2.8975949520490922</v>
      </c>
      <c r="P157" s="68">
        <f t="shared" si="8"/>
        <v>2.854415436174835</v>
      </c>
      <c r="Q157" s="68">
        <f t="shared" si="9"/>
        <v>2.8125391013071668</v>
      </c>
      <c r="R157" s="68">
        <f t="shared" si="10"/>
        <v>2.77127712249984</v>
      </c>
      <c r="S157" s="68">
        <f t="shared" si="11"/>
        <v>2.7306204867059867</v>
      </c>
      <c r="T157" s="68">
        <f t="shared" si="12"/>
        <v>2.6892982323771464</v>
      </c>
      <c r="U157" s="68">
        <f t="shared" si="13"/>
        <v>92.30527434202101</v>
      </c>
    </row>
    <row r="158" spans="11:21" ht="15">
      <c r="K158">
        <f t="shared" si="14"/>
        <v>32</v>
      </c>
      <c r="L158" s="120">
        <f t="shared" si="15"/>
        <v>40510</v>
      </c>
      <c r="M158" s="118">
        <f t="shared" si="16"/>
        <v>112.01455063256779</v>
      </c>
      <c r="N158" s="68">
        <f aca="true" t="shared" si="17" ref="N158:N189">$K$47/(1+$L$123/100)^(($J$47-K158)/252)</f>
        <v>2.9407376967904826</v>
      </c>
      <c r="O158" s="68">
        <f t="shared" si="7"/>
        <v>2.8979348506981553</v>
      </c>
      <c r="P158" s="68">
        <f t="shared" si="8"/>
        <v>2.8547502697063245</v>
      </c>
      <c r="Q158" s="68">
        <f t="shared" si="9"/>
        <v>2.8128690225890542</v>
      </c>
      <c r="R158" s="68">
        <f t="shared" si="10"/>
        <v>2.7716022035983734</v>
      </c>
      <c r="S158" s="68">
        <f t="shared" si="11"/>
        <v>2.73094079863015</v>
      </c>
      <c r="T158" s="68">
        <f t="shared" si="12"/>
        <v>2.689613697047413</v>
      </c>
      <c r="U158" s="68">
        <f t="shared" si="13"/>
        <v>92.31610209350784</v>
      </c>
    </row>
    <row r="159" spans="11:21" ht="15">
      <c r="K159">
        <f t="shared" si="14"/>
        <v>33</v>
      </c>
      <c r="L159" s="120">
        <f t="shared" si="15"/>
        <v>40511</v>
      </c>
      <c r="M159" s="118">
        <f t="shared" si="16"/>
        <v>112.02769035536052</v>
      </c>
      <c r="N159" s="68">
        <f t="shared" si="17"/>
        <v>2.9410826562437293</v>
      </c>
      <c r="O159" s="68">
        <f t="shared" si="7"/>
        <v>2.898274789218593</v>
      </c>
      <c r="P159" s="68">
        <f t="shared" si="8"/>
        <v>2.8550851425150316</v>
      </c>
      <c r="Q159" s="68">
        <f t="shared" si="9"/>
        <v>2.813198982571934</v>
      </c>
      <c r="R159" s="68">
        <f t="shared" si="10"/>
        <v>2.7719273228301278</v>
      </c>
      <c r="S159" s="68">
        <f t="shared" si="11"/>
        <v>2.731261148128091</v>
      </c>
      <c r="T159" s="68">
        <f t="shared" si="12"/>
        <v>2.689929198722857</v>
      </c>
      <c r="U159" s="68">
        <f t="shared" si="13"/>
        <v>92.32693111513015</v>
      </c>
    </row>
    <row r="160" spans="11:21" ht="15">
      <c r="K160">
        <f t="shared" si="14"/>
        <v>34</v>
      </c>
      <c r="L160" s="120">
        <f t="shared" si="15"/>
        <v>40512</v>
      </c>
      <c r="M160" s="118">
        <f t="shared" si="16"/>
        <v>112.04083161949148</v>
      </c>
      <c r="N160" s="68">
        <f t="shared" si="17"/>
        <v>2.9414276561620007</v>
      </c>
      <c r="O160" s="68">
        <f t="shared" si="7"/>
        <v>2.898614767615081</v>
      </c>
      <c r="P160" s="68">
        <f t="shared" si="8"/>
        <v>2.8554200546055624</v>
      </c>
      <c r="Q160" s="68">
        <f t="shared" si="9"/>
        <v>2.8135289812603452</v>
      </c>
      <c r="R160" s="68">
        <f t="shared" si="10"/>
        <v>2.772252480199575</v>
      </c>
      <c r="S160" s="68">
        <f t="shared" si="11"/>
        <v>2.7315815352042185</v>
      </c>
      <c r="T160" s="68">
        <f t="shared" si="12"/>
        <v>2.690244737407819</v>
      </c>
      <c r="U160" s="68">
        <f t="shared" si="13"/>
        <v>92.33776140703688</v>
      </c>
    </row>
    <row r="161" spans="11:21" ht="15">
      <c r="K161">
        <f t="shared" si="14"/>
        <v>35</v>
      </c>
      <c r="L161" s="120">
        <f t="shared" si="15"/>
        <v>40513</v>
      </c>
      <c r="M161" s="118">
        <f t="shared" si="16"/>
        <v>112.05397442514156</v>
      </c>
      <c r="N161" s="68">
        <f t="shared" si="17"/>
        <v>2.941772696550044</v>
      </c>
      <c r="O161" s="68">
        <f t="shared" si="7"/>
        <v>2.8989547858922977</v>
      </c>
      <c r="P161" s="68">
        <f t="shared" si="8"/>
        <v>2.855755005982525</v>
      </c>
      <c r="Q161" s="68">
        <f t="shared" si="9"/>
        <v>2.813859018658828</v>
      </c>
      <c r="R161" s="68">
        <f t="shared" si="10"/>
        <v>2.772577675711189</v>
      </c>
      <c r="S161" s="68">
        <f t="shared" si="11"/>
        <v>2.73190195986294</v>
      </c>
      <c r="T161" s="68">
        <f t="shared" si="12"/>
        <v>2.6905603131066407</v>
      </c>
      <c r="U161" s="68">
        <f t="shared" si="13"/>
        <v>92.3485929693771</v>
      </c>
    </row>
    <row r="162" spans="11:21" ht="15">
      <c r="K162">
        <f t="shared" si="14"/>
        <v>36</v>
      </c>
      <c r="L162" s="120">
        <f t="shared" si="15"/>
        <v>40514</v>
      </c>
      <c r="M162" s="118">
        <f t="shared" si="16"/>
        <v>112.06711877249154</v>
      </c>
      <c r="N162" s="68">
        <f t="shared" si="17"/>
        <v>2.942117777412606</v>
      </c>
      <c r="O162" s="68">
        <f t="shared" si="7"/>
        <v>2.899294844054921</v>
      </c>
      <c r="P162" s="68">
        <f t="shared" si="8"/>
        <v>2.856089996650528</v>
      </c>
      <c r="Q162" s="68">
        <f t="shared" si="9"/>
        <v>2.8141890947719235</v>
      </c>
      <c r="R162" s="68">
        <f t="shared" si="10"/>
        <v>2.7729029093694444</v>
      </c>
      <c r="S162" s="68">
        <f t="shared" si="11"/>
        <v>2.7322224221086633</v>
      </c>
      <c r="T162" s="68">
        <f t="shared" si="12"/>
        <v>2.6908759258236636</v>
      </c>
      <c r="U162" s="68">
        <f t="shared" si="13"/>
        <v>92.3594258022998</v>
      </c>
    </row>
    <row r="163" spans="11:21" ht="15">
      <c r="K163">
        <f t="shared" si="14"/>
        <v>37</v>
      </c>
      <c r="L163" s="120">
        <f t="shared" si="15"/>
        <v>40515</v>
      </c>
      <c r="M163" s="118">
        <f t="shared" si="16"/>
        <v>112.08026466172228</v>
      </c>
      <c r="N163" s="68">
        <f t="shared" si="17"/>
        <v>2.9424628987544352</v>
      </c>
      <c r="O163" s="68">
        <f t="shared" si="7"/>
        <v>2.89963494210763</v>
      </c>
      <c r="P163" s="68">
        <f t="shared" si="8"/>
        <v>2.8564250266141804</v>
      </c>
      <c r="Q163" s="68">
        <f t="shared" si="9"/>
        <v>2.8145192096041725</v>
      </c>
      <c r="R163" s="68">
        <f t="shared" si="10"/>
        <v>2.773228181178816</v>
      </c>
      <c r="S163" s="68">
        <f t="shared" si="11"/>
        <v>2.7325429219457984</v>
      </c>
      <c r="T163" s="68">
        <f t="shared" si="12"/>
        <v>2.6911915755632307</v>
      </c>
      <c r="U163" s="68">
        <f t="shared" si="13"/>
        <v>92.37025990595401</v>
      </c>
    </row>
    <row r="164" spans="11:21" ht="15">
      <c r="K164">
        <f t="shared" si="14"/>
        <v>38</v>
      </c>
      <c r="L164" s="120">
        <f t="shared" si="15"/>
        <v>40516</v>
      </c>
      <c r="M164" s="118">
        <f t="shared" si="16"/>
        <v>112.09341209301466</v>
      </c>
      <c r="N164" s="68">
        <f t="shared" si="17"/>
        <v>2.9428080605802793</v>
      </c>
      <c r="O164" s="68">
        <f t="shared" si="7"/>
        <v>2.8999750800551034</v>
      </c>
      <c r="P164" s="68">
        <f t="shared" si="8"/>
        <v>2.8567600958780925</v>
      </c>
      <c r="Q164" s="68">
        <f t="shared" si="9"/>
        <v>2.8148493631601177</v>
      </c>
      <c r="R164" s="68">
        <f t="shared" si="10"/>
        <v>2.7735534911437787</v>
      </c>
      <c r="S164" s="68">
        <f t="shared" si="11"/>
        <v>2.7328634593787546</v>
      </c>
      <c r="T164" s="68">
        <f t="shared" si="12"/>
        <v>2.6915072623296843</v>
      </c>
      <c r="U164" s="68">
        <f t="shared" si="13"/>
        <v>92.38109528048885</v>
      </c>
    </row>
    <row r="165" spans="11:21" ht="15">
      <c r="K165">
        <f t="shared" si="14"/>
        <v>39</v>
      </c>
      <c r="L165" s="120">
        <f t="shared" si="15"/>
        <v>40517</v>
      </c>
      <c r="M165" s="118">
        <f t="shared" si="16"/>
        <v>112.10656106654955</v>
      </c>
      <c r="N165" s="68">
        <f t="shared" si="17"/>
        <v>2.9431532628948878</v>
      </c>
      <c r="O165" s="68">
        <f t="shared" si="7"/>
        <v>2.9003152579020215</v>
      </c>
      <c r="P165" s="68">
        <f t="shared" si="8"/>
        <v>2.857095204446873</v>
      </c>
      <c r="Q165" s="68">
        <f t="shared" si="9"/>
        <v>2.815179555444301</v>
      </c>
      <c r="R165" s="68">
        <f t="shared" si="10"/>
        <v>2.7738788392688085</v>
      </c>
      <c r="S165" s="68">
        <f t="shared" si="11"/>
        <v>2.7331840344119422</v>
      </c>
      <c r="T165" s="68">
        <f t="shared" si="12"/>
        <v>2.691822986127368</v>
      </c>
      <c r="U165" s="68">
        <f t="shared" si="13"/>
        <v>92.39193192605335</v>
      </c>
    </row>
    <row r="166" spans="11:21" ht="15">
      <c r="K166">
        <f t="shared" si="14"/>
        <v>40</v>
      </c>
      <c r="L166" s="120">
        <f t="shared" si="15"/>
        <v>40518</v>
      </c>
      <c r="M166" s="118">
        <f t="shared" si="16"/>
        <v>112.11971158250788</v>
      </c>
      <c r="N166" s="68">
        <f t="shared" si="17"/>
        <v>2.9434985057030087</v>
      </c>
      <c r="O166" s="68">
        <f t="shared" si="7"/>
        <v>2.9006554756530645</v>
      </c>
      <c r="P166" s="68">
        <f t="shared" si="8"/>
        <v>2.857430352325133</v>
      </c>
      <c r="Q166" s="68">
        <f t="shared" si="9"/>
        <v>2.8155097864612655</v>
      </c>
      <c r="R166" s="68">
        <f t="shared" si="10"/>
        <v>2.774204225558382</v>
      </c>
      <c r="S166" s="68">
        <f t="shared" si="11"/>
        <v>2.7335046470497724</v>
      </c>
      <c r="T166" s="68">
        <f t="shared" si="12"/>
        <v>2.692138746960626</v>
      </c>
      <c r="U166" s="68">
        <f t="shared" si="13"/>
        <v>92.40276984279663</v>
      </c>
    </row>
    <row r="167" spans="11:21" ht="15">
      <c r="K167">
        <f t="shared" si="14"/>
        <v>41</v>
      </c>
      <c r="L167" s="120">
        <f t="shared" si="15"/>
        <v>40519</v>
      </c>
      <c r="M167" s="118">
        <f t="shared" si="16"/>
        <v>112.13286364107054</v>
      </c>
      <c r="N167" s="68">
        <f t="shared" si="17"/>
        <v>2.943843789009395</v>
      </c>
      <c r="O167" s="68">
        <f t="shared" si="7"/>
        <v>2.9009957333129126</v>
      </c>
      <c r="P167" s="68">
        <f t="shared" si="8"/>
        <v>2.8577655395174846</v>
      </c>
      <c r="Q167" s="68">
        <f t="shared" si="9"/>
        <v>2.8158400562155546</v>
      </c>
      <c r="R167" s="68">
        <f t="shared" si="10"/>
        <v>2.7745296500169756</v>
      </c>
      <c r="S167" s="68">
        <f t="shared" si="11"/>
        <v>2.733825297296655</v>
      </c>
      <c r="T167" s="68">
        <f t="shared" si="12"/>
        <v>2.692454544833802</v>
      </c>
      <c r="U167" s="68">
        <f t="shared" si="13"/>
        <v>92.41360903086776</v>
      </c>
    </row>
    <row r="168" spans="11:21" ht="15">
      <c r="K168">
        <f t="shared" si="14"/>
        <v>42</v>
      </c>
      <c r="L168" s="120">
        <f t="shared" si="15"/>
        <v>40520</v>
      </c>
      <c r="M168" s="118">
        <f t="shared" si="16"/>
        <v>112.14601724241854</v>
      </c>
      <c r="N168" s="68">
        <f t="shared" si="17"/>
        <v>2.9441891128187936</v>
      </c>
      <c r="O168" s="68">
        <f t="shared" si="7"/>
        <v>2.9013360308862484</v>
      </c>
      <c r="P168" s="68">
        <f t="shared" si="8"/>
        <v>2.8581007660285382</v>
      </c>
      <c r="Q168" s="68">
        <f t="shared" si="9"/>
        <v>2.8161703647117124</v>
      </c>
      <c r="R168" s="68">
        <f t="shared" si="10"/>
        <v>2.774855112649066</v>
      </c>
      <c r="S168" s="68">
        <f t="shared" si="11"/>
        <v>2.7341459851570025</v>
      </c>
      <c r="T168" s="68">
        <f t="shared" si="12"/>
        <v>2.6927703797512414</v>
      </c>
      <c r="U168" s="68">
        <f t="shared" si="13"/>
        <v>92.42444949041594</v>
      </c>
    </row>
    <row r="169" spans="11:21" ht="15">
      <c r="K169">
        <f t="shared" si="14"/>
        <v>43</v>
      </c>
      <c r="L169" s="120">
        <f t="shared" si="15"/>
        <v>40521</v>
      </c>
      <c r="M169" s="118">
        <f t="shared" si="16"/>
        <v>112.15917238673282</v>
      </c>
      <c r="N169" s="68">
        <f t="shared" si="17"/>
        <v>2.9445344771359587</v>
      </c>
      <c r="O169" s="68">
        <f t="shared" si="7"/>
        <v>2.901676368377753</v>
      </c>
      <c r="P169" s="68">
        <f t="shared" si="8"/>
        <v>2.8584360318629067</v>
      </c>
      <c r="Q169" s="68">
        <f t="shared" si="9"/>
        <v>2.816500711954284</v>
      </c>
      <c r="R169" s="68">
        <f t="shared" si="10"/>
        <v>2.775180613459132</v>
      </c>
      <c r="S169" s="68">
        <f t="shared" si="11"/>
        <v>2.734466710635227</v>
      </c>
      <c r="T169" s="68">
        <f t="shared" si="12"/>
        <v>2.69308625171729</v>
      </c>
      <c r="U169" s="68">
        <f t="shared" si="13"/>
        <v>92.43529122159028</v>
      </c>
    </row>
    <row r="170" spans="11:21" ht="15">
      <c r="K170">
        <f t="shared" si="14"/>
        <v>44</v>
      </c>
      <c r="L170" s="120">
        <f t="shared" si="15"/>
        <v>40522</v>
      </c>
      <c r="M170" s="118">
        <f t="shared" si="16"/>
        <v>112.17232907419438</v>
      </c>
      <c r="N170" s="68">
        <f t="shared" si="17"/>
        <v>2.94487988196564</v>
      </c>
      <c r="O170" s="68">
        <f t="shared" si="7"/>
        <v>2.90201674579211</v>
      </c>
      <c r="P170" s="68">
        <f t="shared" si="8"/>
        <v>2.8587713370252024</v>
      </c>
      <c r="Q170" s="68">
        <f t="shared" si="9"/>
        <v>2.816831097947814</v>
      </c>
      <c r="R170" s="68">
        <f t="shared" si="10"/>
        <v>2.7755061524516527</v>
      </c>
      <c r="S170" s="68">
        <f t="shared" si="11"/>
        <v>2.7347874737357416</v>
      </c>
      <c r="T170" s="68">
        <f t="shared" si="12"/>
        <v>2.693402160736293</v>
      </c>
      <c r="U170" s="68">
        <f t="shared" si="13"/>
        <v>92.44613422453993</v>
      </c>
    </row>
    <row r="171" spans="11:21" ht="15">
      <c r="K171">
        <f t="shared" si="14"/>
        <v>45</v>
      </c>
      <c r="L171" s="120">
        <f t="shared" si="15"/>
        <v>40523</v>
      </c>
      <c r="M171" s="118">
        <f t="shared" si="16"/>
        <v>112.18548730498426</v>
      </c>
      <c r="N171" s="68">
        <f t="shared" si="17"/>
        <v>2.9452253273125915</v>
      </c>
      <c r="O171" s="68">
        <f t="shared" si="7"/>
        <v>2.902357163134001</v>
      </c>
      <c r="P171" s="68">
        <f t="shared" si="8"/>
        <v>2.859106681520039</v>
      </c>
      <c r="Q171" s="68">
        <f t="shared" si="9"/>
        <v>2.8171615226968476</v>
      </c>
      <c r="R171" s="68">
        <f t="shared" si="10"/>
        <v>2.775831729631106</v>
      </c>
      <c r="S171" s="68">
        <f t="shared" si="11"/>
        <v>2.735108274462959</v>
      </c>
      <c r="T171" s="68">
        <f t="shared" si="12"/>
        <v>2.6937181068125975</v>
      </c>
      <c r="U171" s="68">
        <f t="shared" si="13"/>
        <v>92.45697849941412</v>
      </c>
    </row>
    <row r="172" spans="11:21" ht="15">
      <c r="K172">
        <f t="shared" si="14"/>
        <v>46</v>
      </c>
      <c r="L172" s="120">
        <f t="shared" si="15"/>
        <v>40524</v>
      </c>
      <c r="M172" s="118">
        <f t="shared" si="16"/>
        <v>112.19864707928346</v>
      </c>
      <c r="N172" s="68">
        <f t="shared" si="17"/>
        <v>2.9455708131815643</v>
      </c>
      <c r="O172" s="68">
        <f t="shared" si="7"/>
        <v>2.9026976204081105</v>
      </c>
      <c r="P172" s="68">
        <f t="shared" si="8"/>
        <v>2.85944206535203</v>
      </c>
      <c r="Q172" s="68">
        <f t="shared" si="9"/>
        <v>2.8174919862059316</v>
      </c>
      <c r="R172" s="68">
        <f t="shared" si="10"/>
        <v>2.7761573450019714</v>
      </c>
      <c r="S172" s="68">
        <f t="shared" si="11"/>
        <v>2.7354291128212926</v>
      </c>
      <c r="T172" s="68">
        <f t="shared" si="12"/>
        <v>2.6940340899505495</v>
      </c>
      <c r="U172" s="68">
        <f t="shared" si="13"/>
        <v>92.46782404636201</v>
      </c>
    </row>
    <row r="173" spans="11:21" ht="15">
      <c r="K173">
        <f t="shared" si="14"/>
        <v>47</v>
      </c>
      <c r="L173" s="120">
        <f t="shared" si="15"/>
        <v>40525</v>
      </c>
      <c r="M173" s="118">
        <f t="shared" si="16"/>
        <v>112.21180839727307</v>
      </c>
      <c r="N173" s="68">
        <f t="shared" si="17"/>
        <v>2.945916339577313</v>
      </c>
      <c r="O173" s="68">
        <f t="shared" si="7"/>
        <v>2.903038117619123</v>
      </c>
      <c r="P173" s="68">
        <f t="shared" si="8"/>
        <v>2.8597774885257907</v>
      </c>
      <c r="Q173" s="68">
        <f t="shared" si="9"/>
        <v>2.8178224884796124</v>
      </c>
      <c r="R173" s="68">
        <f t="shared" si="10"/>
        <v>2.7764829985687287</v>
      </c>
      <c r="S173" s="68">
        <f t="shared" si="11"/>
        <v>2.7357499888151575</v>
      </c>
      <c r="T173" s="68">
        <f t="shared" si="12"/>
        <v>2.6943501101544975</v>
      </c>
      <c r="U173" s="68">
        <f t="shared" si="13"/>
        <v>92.47867086553285</v>
      </c>
    </row>
    <row r="174" spans="11:21" ht="15">
      <c r="K174">
        <f t="shared" si="14"/>
        <v>48</v>
      </c>
      <c r="L174" s="120">
        <f t="shared" si="15"/>
        <v>40526</v>
      </c>
      <c r="M174" s="118">
        <f t="shared" si="16"/>
        <v>112.22497125913416</v>
      </c>
      <c r="N174" s="68">
        <f t="shared" si="17"/>
        <v>2.946261906504591</v>
      </c>
      <c r="O174" s="68">
        <f t="shared" si="7"/>
        <v>2.9033786547717226</v>
      </c>
      <c r="P174" s="68">
        <f t="shared" si="8"/>
        <v>2.860112951045935</v>
      </c>
      <c r="Q174" s="68">
        <f t="shared" si="9"/>
        <v>2.818153029522437</v>
      </c>
      <c r="R174" s="68">
        <f t="shared" si="10"/>
        <v>2.776808690335859</v>
      </c>
      <c r="S174" s="68">
        <f t="shared" si="11"/>
        <v>2.7360709024489687</v>
      </c>
      <c r="T174" s="68">
        <f t="shared" si="12"/>
        <v>2.6946661674287893</v>
      </c>
      <c r="U174" s="68">
        <f t="shared" si="13"/>
        <v>92.48951895707586</v>
      </c>
    </row>
    <row r="175" spans="11:21" ht="15">
      <c r="K175">
        <f t="shared" si="14"/>
        <v>49</v>
      </c>
      <c r="L175" s="120">
        <f t="shared" si="15"/>
        <v>40527</v>
      </c>
      <c r="M175" s="118">
        <f t="shared" si="16"/>
        <v>112.23813566504782</v>
      </c>
      <c r="N175" s="68">
        <f t="shared" si="17"/>
        <v>2.9466075139681536</v>
      </c>
      <c r="O175" s="68">
        <f t="shared" si="7"/>
        <v>2.9037192318705958</v>
      </c>
      <c r="P175" s="68">
        <f t="shared" si="8"/>
        <v>2.860448452917079</v>
      </c>
      <c r="Q175" s="68">
        <f t="shared" si="9"/>
        <v>2.8184836093389545</v>
      </c>
      <c r="R175" s="68">
        <f t="shared" si="10"/>
        <v>2.7771344203078434</v>
      </c>
      <c r="S175" s="68">
        <f t="shared" si="11"/>
        <v>2.73639185372714</v>
      </c>
      <c r="T175" s="68">
        <f t="shared" si="12"/>
        <v>2.6949822617777723</v>
      </c>
      <c r="U175" s="68">
        <f t="shared" si="13"/>
        <v>92.50036832114029</v>
      </c>
    </row>
    <row r="176" spans="11:21" ht="15">
      <c r="K176">
        <f t="shared" si="14"/>
        <v>50</v>
      </c>
      <c r="L176" s="120">
        <f t="shared" si="15"/>
        <v>40528</v>
      </c>
      <c r="M176" s="118">
        <f t="shared" si="16"/>
        <v>112.25130161519519</v>
      </c>
      <c r="N176" s="68">
        <f t="shared" si="17"/>
        <v>2.946953161972754</v>
      </c>
      <c r="O176" s="68">
        <f t="shared" si="7"/>
        <v>2.904059848920426</v>
      </c>
      <c r="P176" s="68">
        <f t="shared" si="8"/>
        <v>2.860783994143838</v>
      </c>
      <c r="Q176" s="68">
        <f t="shared" si="9"/>
        <v>2.818814227933711</v>
      </c>
      <c r="R176" s="68">
        <f t="shared" si="10"/>
        <v>2.7774601884891634</v>
      </c>
      <c r="S176" s="68">
        <f t="shared" si="11"/>
        <v>2.7367128426540885</v>
      </c>
      <c r="T176" s="68">
        <f t="shared" si="12"/>
        <v>2.695298393205797</v>
      </c>
      <c r="U176" s="68">
        <f t="shared" si="13"/>
        <v>92.51121895787541</v>
      </c>
    </row>
    <row r="177" spans="11:21" ht="15">
      <c r="K177">
        <f t="shared" si="14"/>
        <v>51</v>
      </c>
      <c r="L177" s="120">
        <f t="shared" si="15"/>
        <v>40529</v>
      </c>
      <c r="M177" s="118">
        <f t="shared" si="16"/>
        <v>112.26446910975741</v>
      </c>
      <c r="N177" s="68">
        <f t="shared" si="17"/>
        <v>2.9472988505231505</v>
      </c>
      <c r="O177" s="68">
        <f t="shared" si="7"/>
        <v>2.9044005059259024</v>
      </c>
      <c r="P177" s="68">
        <f t="shared" si="8"/>
        <v>2.8611195747308296</v>
      </c>
      <c r="Q177" s="68">
        <f t="shared" si="9"/>
        <v>2.8191448853112573</v>
      </c>
      <c r="R177" s="68">
        <f t="shared" si="10"/>
        <v>2.7777859948843004</v>
      </c>
      <c r="S177" s="68">
        <f t="shared" si="11"/>
        <v>2.7370338692342306</v>
      </c>
      <c r="T177" s="68">
        <f t="shared" si="12"/>
        <v>2.6956145617172123</v>
      </c>
      <c r="U177" s="68">
        <f t="shared" si="13"/>
        <v>92.52207086743053</v>
      </c>
    </row>
    <row r="178" spans="11:21" ht="15">
      <c r="K178">
        <f t="shared" si="14"/>
        <v>52</v>
      </c>
      <c r="L178" s="120">
        <f t="shared" si="15"/>
        <v>40530</v>
      </c>
      <c r="M178" s="118">
        <f t="shared" si="16"/>
        <v>112.27763814891564</v>
      </c>
      <c r="N178" s="68">
        <f t="shared" si="17"/>
        <v>2.9476445796240967</v>
      </c>
      <c r="O178" s="68">
        <f t="shared" si="7"/>
        <v>2.90474120289171</v>
      </c>
      <c r="P178" s="68">
        <f t="shared" si="8"/>
        <v>2.86145519468267</v>
      </c>
      <c r="Q178" s="68">
        <f t="shared" si="9"/>
        <v>2.819475581476142</v>
      </c>
      <c r="R178" s="68">
        <f t="shared" si="10"/>
        <v>2.7781118394977375</v>
      </c>
      <c r="S178" s="68">
        <f t="shared" si="11"/>
        <v>2.7373549334719827</v>
      </c>
      <c r="T178" s="68">
        <f t="shared" si="12"/>
        <v>2.6959307673163684</v>
      </c>
      <c r="U178" s="68">
        <f t="shared" si="13"/>
        <v>92.53292404995493</v>
      </c>
    </row>
    <row r="179" spans="11:21" ht="15">
      <c r="K179">
        <f t="shared" si="14"/>
        <v>53</v>
      </c>
      <c r="L179" s="120">
        <f t="shared" si="15"/>
        <v>40531</v>
      </c>
      <c r="M179" s="118">
        <f t="shared" si="16"/>
        <v>112.29080873285108</v>
      </c>
      <c r="N179" s="68">
        <f t="shared" si="17"/>
        <v>2.9479903492803503</v>
      </c>
      <c r="O179" s="68">
        <f t="shared" si="7"/>
        <v>2.9050819398225376</v>
      </c>
      <c r="P179" s="68">
        <f t="shared" si="8"/>
        <v>2.8617908540039774</v>
      </c>
      <c r="Q179" s="68">
        <f t="shared" si="9"/>
        <v>2.819806316432915</v>
      </c>
      <c r="R179" s="68">
        <f t="shared" si="10"/>
        <v>2.7784377223339582</v>
      </c>
      <c r="S179" s="68">
        <f t="shared" si="11"/>
        <v>2.737676035371762</v>
      </c>
      <c r="T179" s="68">
        <f t="shared" si="12"/>
        <v>2.6962470100076152</v>
      </c>
      <c r="U179" s="68">
        <f t="shared" si="13"/>
        <v>92.54377850559796</v>
      </c>
    </row>
    <row r="180" spans="11:21" ht="15">
      <c r="K180">
        <f t="shared" si="14"/>
        <v>54</v>
      </c>
      <c r="L180" s="120">
        <f t="shared" si="15"/>
        <v>40532</v>
      </c>
      <c r="M180" s="118">
        <f t="shared" si="16"/>
        <v>112.30398086174492</v>
      </c>
      <c r="N180" s="68">
        <f t="shared" si="17"/>
        <v>2.9483361594966695</v>
      </c>
      <c r="O180" s="68">
        <f t="shared" si="7"/>
        <v>2.905422716723072</v>
      </c>
      <c r="P180" s="68">
        <f t="shared" si="8"/>
        <v>2.8621265526993693</v>
      </c>
      <c r="Q180" s="68">
        <f t="shared" si="9"/>
        <v>2.820137090186127</v>
      </c>
      <c r="R180" s="68">
        <f t="shared" si="10"/>
        <v>2.778763643397446</v>
      </c>
      <c r="S180" s="68">
        <f t="shared" si="11"/>
        <v>2.7379971749379868</v>
      </c>
      <c r="T180" s="68">
        <f t="shared" si="12"/>
        <v>2.696563289795304</v>
      </c>
      <c r="U180" s="68">
        <f t="shared" si="13"/>
        <v>92.55463423450894</v>
      </c>
    </row>
    <row r="181" spans="11:21" ht="15">
      <c r="K181">
        <f t="shared" si="14"/>
        <v>55</v>
      </c>
      <c r="L181" s="120">
        <f t="shared" si="15"/>
        <v>40533</v>
      </c>
      <c r="M181" s="118">
        <f t="shared" si="16"/>
        <v>112.31715453577839</v>
      </c>
      <c r="N181" s="68">
        <f t="shared" si="17"/>
        <v>2.948682010277811</v>
      </c>
      <c r="O181" s="68">
        <f t="shared" si="7"/>
        <v>2.905763533598003</v>
      </c>
      <c r="P181" s="68">
        <f t="shared" si="8"/>
        <v>2.8624622907734656</v>
      </c>
      <c r="Q181" s="68">
        <f t="shared" si="9"/>
        <v>2.8204679027403277</v>
      </c>
      <c r="R181" s="68">
        <f t="shared" si="10"/>
        <v>2.7790896026926846</v>
      </c>
      <c r="S181" s="68">
        <f t="shared" si="11"/>
        <v>2.7383183521750754</v>
      </c>
      <c r="T181" s="68">
        <f t="shared" si="12"/>
        <v>2.6968796066837863</v>
      </c>
      <c r="U181" s="68">
        <f t="shared" si="13"/>
        <v>92.56549123683723</v>
      </c>
    </row>
    <row r="182" spans="11:21" ht="15">
      <c r="K182">
        <f t="shared" si="14"/>
        <v>56</v>
      </c>
      <c r="L182" s="120">
        <f t="shared" si="15"/>
        <v>40534</v>
      </c>
      <c r="M182" s="118">
        <f t="shared" si="16"/>
        <v>112.33032975513277</v>
      </c>
      <c r="N182" s="68">
        <f t="shared" si="17"/>
        <v>2.9490279016285332</v>
      </c>
      <c r="O182" s="68">
        <f t="shared" si="7"/>
        <v>2.906104390452019</v>
      </c>
      <c r="P182" s="68">
        <f t="shared" si="8"/>
        <v>2.8627980682308847</v>
      </c>
      <c r="Q182" s="68">
        <f t="shared" si="9"/>
        <v>2.82079875410007</v>
      </c>
      <c r="R182" s="68">
        <f t="shared" si="10"/>
        <v>2.779415600224159</v>
      </c>
      <c r="S182" s="68">
        <f t="shared" si="11"/>
        <v>2.7386395670874464</v>
      </c>
      <c r="T182" s="68">
        <f t="shared" si="12"/>
        <v>2.6971959606774156</v>
      </c>
      <c r="U182" s="68">
        <f t="shared" si="13"/>
        <v>92.57634951273224</v>
      </c>
    </row>
    <row r="183" spans="11:21" ht="15">
      <c r="K183">
        <f t="shared" si="14"/>
        <v>57</v>
      </c>
      <c r="L183" s="120">
        <f t="shared" si="15"/>
        <v>40535</v>
      </c>
      <c r="M183" s="118">
        <f t="shared" si="16"/>
        <v>112.34350651998929</v>
      </c>
      <c r="N183" s="68">
        <f t="shared" si="17"/>
        <v>2.949373833553596</v>
      </c>
      <c r="O183" s="68">
        <f t="shared" si="7"/>
        <v>2.90644528728981</v>
      </c>
      <c r="P183" s="68">
        <f t="shared" si="8"/>
        <v>2.863133885076246</v>
      </c>
      <c r="Q183" s="68">
        <f t="shared" si="9"/>
        <v>2.8211296442699054</v>
      </c>
      <c r="R183" s="68">
        <f t="shared" si="10"/>
        <v>2.7797416359963556</v>
      </c>
      <c r="S183" s="68">
        <f t="shared" si="11"/>
        <v>2.7389608196795203</v>
      </c>
      <c r="T183" s="68">
        <f t="shared" si="12"/>
        <v>2.697512351780542</v>
      </c>
      <c r="U183" s="68">
        <f t="shared" si="13"/>
        <v>92.58720906234332</v>
      </c>
    </row>
    <row r="184" spans="11:21" ht="15">
      <c r="K184">
        <f t="shared" si="14"/>
        <v>58</v>
      </c>
      <c r="L184" s="120">
        <f t="shared" si="15"/>
        <v>40536</v>
      </c>
      <c r="M184" s="118">
        <f t="shared" si="16"/>
        <v>112.35668483052928</v>
      </c>
      <c r="N184" s="68">
        <f t="shared" si="17"/>
        <v>2.949719806057758</v>
      </c>
      <c r="O184" s="68">
        <f t="shared" si="7"/>
        <v>2.9067862241160656</v>
      </c>
      <c r="P184" s="68">
        <f t="shared" si="8"/>
        <v>2.8634697413141708</v>
      </c>
      <c r="Q184" s="68">
        <f t="shared" si="9"/>
        <v>2.821460573254387</v>
      </c>
      <c r="R184" s="68">
        <f t="shared" si="10"/>
        <v>2.780067710013758</v>
      </c>
      <c r="S184" s="68">
        <f t="shared" si="11"/>
        <v>2.7392821099557154</v>
      </c>
      <c r="T184" s="68">
        <f t="shared" si="12"/>
        <v>2.6978287799975202</v>
      </c>
      <c r="U184" s="68">
        <f t="shared" si="13"/>
        <v>92.5980698858199</v>
      </c>
    </row>
    <row r="185" spans="11:21" ht="15">
      <c r="K185">
        <f t="shared" si="14"/>
        <v>59</v>
      </c>
      <c r="L185" s="120">
        <f t="shared" si="15"/>
        <v>40537</v>
      </c>
      <c r="M185" s="118">
        <f t="shared" si="16"/>
        <v>112.36986468693404</v>
      </c>
      <c r="N185" s="68">
        <f t="shared" si="17"/>
        <v>2.95006581914578</v>
      </c>
      <c r="O185" s="68">
        <f t="shared" si="7"/>
        <v>2.907127200935477</v>
      </c>
      <c r="P185" s="68">
        <f t="shared" si="8"/>
        <v>2.8638056369492797</v>
      </c>
      <c r="Q185" s="68">
        <f t="shared" si="9"/>
        <v>2.821791541058068</v>
      </c>
      <c r="R185" s="68">
        <f t="shared" si="10"/>
        <v>2.7803938222808537</v>
      </c>
      <c r="S185" s="68">
        <f t="shared" si="11"/>
        <v>2.739603437920454</v>
      </c>
      <c r="T185" s="68">
        <f t="shared" si="12"/>
        <v>2.6981452453327033</v>
      </c>
      <c r="U185" s="68">
        <f t="shared" si="13"/>
        <v>92.60893198331142</v>
      </c>
    </row>
    <row r="186" spans="11:21" ht="15">
      <c r="K186">
        <f t="shared" si="14"/>
        <v>60</v>
      </c>
      <c r="L186" s="120">
        <f t="shared" si="15"/>
        <v>40538</v>
      </c>
      <c r="M186" s="118">
        <f t="shared" si="16"/>
        <v>112.38304608938489</v>
      </c>
      <c r="N186" s="68">
        <f t="shared" si="17"/>
        <v>2.950411872822422</v>
      </c>
      <c r="O186" s="68">
        <f t="shared" si="7"/>
        <v>2.907468217752736</v>
      </c>
      <c r="P186" s="68">
        <f t="shared" si="8"/>
        <v>2.864141571986194</v>
      </c>
      <c r="Q186" s="68">
        <f t="shared" si="9"/>
        <v>2.8221225476855003</v>
      </c>
      <c r="R186" s="68">
        <f t="shared" si="10"/>
        <v>2.78071997280213</v>
      </c>
      <c r="S186" s="68">
        <f t="shared" si="11"/>
        <v>2.7399248035781554</v>
      </c>
      <c r="T186" s="68">
        <f t="shared" si="12"/>
        <v>2.698461747790446</v>
      </c>
      <c r="U186" s="68">
        <f t="shared" si="13"/>
        <v>92.61979535496731</v>
      </c>
    </row>
    <row r="187" spans="11:21" ht="15">
      <c r="K187">
        <f t="shared" si="14"/>
        <v>61</v>
      </c>
      <c r="L187" s="120">
        <f t="shared" si="15"/>
        <v>40539</v>
      </c>
      <c r="M187" s="118">
        <f t="shared" si="16"/>
        <v>112.3962290380632</v>
      </c>
      <c r="N187" s="68">
        <f t="shared" si="17"/>
        <v>2.950757967092445</v>
      </c>
      <c r="O187" s="68">
        <f t="shared" si="7"/>
        <v>2.9078092745725344</v>
      </c>
      <c r="P187" s="68">
        <f t="shared" si="8"/>
        <v>2.864477546429536</v>
      </c>
      <c r="Q187" s="68">
        <f t="shared" si="9"/>
        <v>2.82245359314124</v>
      </c>
      <c r="R187" s="68">
        <f t="shared" si="10"/>
        <v>2.7810461615820734</v>
      </c>
      <c r="S187" s="68">
        <f t="shared" si="11"/>
        <v>2.7402462069332425</v>
      </c>
      <c r="T187" s="68">
        <f t="shared" si="12"/>
        <v>2.6987782873751023</v>
      </c>
      <c r="U187" s="68">
        <f t="shared" si="13"/>
        <v>92.63066000093703</v>
      </c>
    </row>
    <row r="188" spans="11:21" ht="15">
      <c r="K188">
        <f t="shared" si="14"/>
        <v>62</v>
      </c>
      <c r="L188" s="120">
        <f t="shared" si="15"/>
        <v>40540</v>
      </c>
      <c r="M188" s="118">
        <f t="shared" si="16"/>
        <v>112.40941353315036</v>
      </c>
      <c r="N188" s="68">
        <f t="shared" si="17"/>
        <v>2.9511041019606123</v>
      </c>
      <c r="O188" s="68">
        <f t="shared" si="7"/>
        <v>2.9081503713995644</v>
      </c>
      <c r="P188" s="68">
        <f t="shared" si="8"/>
        <v>2.8648135602839275</v>
      </c>
      <c r="Q188" s="68">
        <f t="shared" si="9"/>
        <v>2.8227846774298406</v>
      </c>
      <c r="R188" s="68">
        <f t="shared" si="10"/>
        <v>2.781372388625172</v>
      </c>
      <c r="S188" s="68">
        <f t="shared" si="11"/>
        <v>2.740567647990137</v>
      </c>
      <c r="T188" s="68">
        <f t="shared" si="12"/>
        <v>2.699094864091027</v>
      </c>
      <c r="U188" s="68">
        <f t="shared" si="13"/>
        <v>92.64152592137008</v>
      </c>
    </row>
    <row r="189" spans="11:21" ht="15">
      <c r="K189">
        <f t="shared" si="14"/>
        <v>63</v>
      </c>
      <c r="L189" s="120">
        <f t="shared" si="15"/>
        <v>40541</v>
      </c>
      <c r="M189" s="118">
        <f t="shared" si="16"/>
        <v>112.42259957482777</v>
      </c>
      <c r="N189" s="68">
        <f t="shared" si="17"/>
        <v>2.951450277431684</v>
      </c>
      <c r="O189" s="68">
        <f t="shared" si="7"/>
        <v>2.908491508238518</v>
      </c>
      <c r="P189" s="68">
        <f t="shared" si="8"/>
        <v>2.8651496135539922</v>
      </c>
      <c r="Q189" s="68">
        <f t="shared" si="9"/>
        <v>2.8231158005558585</v>
      </c>
      <c r="R189" s="68">
        <f t="shared" si="10"/>
        <v>2.7816986539359148</v>
      </c>
      <c r="S189" s="68">
        <f t="shared" si="11"/>
        <v>2.740889126753261</v>
      </c>
      <c r="T189" s="68">
        <f t="shared" si="12"/>
        <v>2.699411477942576</v>
      </c>
      <c r="U189" s="68">
        <f t="shared" si="13"/>
        <v>92.65239311641596</v>
      </c>
    </row>
    <row r="190" spans="11:21" ht="15">
      <c r="K190">
        <f t="shared" si="14"/>
        <v>64</v>
      </c>
      <c r="L190" s="120">
        <f t="shared" si="15"/>
        <v>40542</v>
      </c>
      <c r="M190" s="118">
        <f t="shared" si="16"/>
        <v>112.43578716327681</v>
      </c>
      <c r="N190" s="68">
        <f aca="true" t="shared" si="18" ref="N190:N202">$K$47/(1+$L$123/100)^(($J$47-K190)/252)</f>
        <v>2.951796493510425</v>
      </c>
      <c r="O190" s="68">
        <f aca="true" t="shared" si="19" ref="O190:O253">$K$48/(1+$L$123/100)^(($J$48-K190)/252)</f>
        <v>2.908832685094091</v>
      </c>
      <c r="P190" s="68">
        <f aca="true" t="shared" si="20" ref="P190:P253">$K$49/(1+$L$123/100)^(($J$49-K190)/252)</f>
        <v>2.8654857062443533</v>
      </c>
      <c r="Q190" s="68">
        <f aca="true" t="shared" si="21" ref="Q190:Q253">$K$50/(1+$L$123/100)^(($J$50-K190)/252)</f>
        <v>2.8234469625238487</v>
      </c>
      <c r="R190" s="68">
        <f aca="true" t="shared" si="22" ref="R190:R253">$K$51/(1+$L$123/100)^(($J$51-K190)/252)</f>
        <v>2.7820249575187894</v>
      </c>
      <c r="S190" s="68">
        <f aca="true" t="shared" si="23" ref="S190:S253">$K$52/(1+$L$123/100)^(($J$52-K190)/252)</f>
        <v>2.7412106432270376</v>
      </c>
      <c r="T190" s="68">
        <f aca="true" t="shared" si="24" ref="T190:T253">$K$53/(1+$L$123/100)^(($J$53-K190)/252)</f>
        <v>2.6997281289341064</v>
      </c>
      <c r="U190" s="68">
        <f aca="true" t="shared" si="25" ref="U190:U253">$K$54/(1+$L$123/100)^(($J$54-K190)/252)</f>
        <v>92.66326158622417</v>
      </c>
    </row>
    <row r="191" spans="11:21" ht="15">
      <c r="K191">
        <f t="shared" si="14"/>
        <v>65</v>
      </c>
      <c r="L191" s="120">
        <f t="shared" si="15"/>
        <v>40543</v>
      </c>
      <c r="M191" s="118">
        <f t="shared" si="16"/>
        <v>112.44897629867897</v>
      </c>
      <c r="N191" s="68">
        <f t="shared" si="18"/>
        <v>2.9521427502015976</v>
      </c>
      <c r="O191" s="68">
        <f t="shared" si="19"/>
        <v>2.9091739019709753</v>
      </c>
      <c r="P191" s="68">
        <f t="shared" si="20"/>
        <v>2.8658218383596354</v>
      </c>
      <c r="Q191" s="68">
        <f t="shared" si="21"/>
        <v>2.823778163338367</v>
      </c>
      <c r="R191" s="68">
        <f t="shared" si="22"/>
        <v>2.782351299378287</v>
      </c>
      <c r="S191" s="68">
        <f t="shared" si="23"/>
        <v>2.7415321974158906</v>
      </c>
      <c r="T191" s="68">
        <f t="shared" si="24"/>
        <v>2.700044817069974</v>
      </c>
      <c r="U191" s="68">
        <f t="shared" si="25"/>
        <v>92.67413133094425</v>
      </c>
    </row>
    <row r="192" spans="11:21" ht="15">
      <c r="K192">
        <f aca="true" t="shared" si="26" ref="K192:K255">K191+1</f>
        <v>66</v>
      </c>
      <c r="L192" s="120">
        <f aca="true" t="shared" si="27" ref="L192:L255">L191+1</f>
        <v>40544</v>
      </c>
      <c r="M192" s="118">
        <f aca="true" t="shared" si="28" ref="M192:M255">SUM(N192:U192)</f>
        <v>112.46216698121569</v>
      </c>
      <c r="N192" s="68">
        <f t="shared" si="18"/>
        <v>2.9524890475099657</v>
      </c>
      <c r="O192" s="68">
        <f t="shared" si="19"/>
        <v>2.9095151588738672</v>
      </c>
      <c r="P192" s="68">
        <f t="shared" si="20"/>
        <v>2.866158009904463</v>
      </c>
      <c r="Q192" s="68">
        <f t="shared" si="21"/>
        <v>2.824109403003972</v>
      </c>
      <c r="R192" s="68">
        <f t="shared" si="22"/>
        <v>2.7826776795188963</v>
      </c>
      <c r="S192" s="68">
        <f t="shared" si="23"/>
        <v>2.7418537893242445</v>
      </c>
      <c r="T192" s="68">
        <f t="shared" si="24"/>
        <v>2.700361542354536</v>
      </c>
      <c r="U192" s="68">
        <f t="shared" si="25"/>
        <v>92.68500235072574</v>
      </c>
    </row>
    <row r="193" spans="11:21" ht="15">
      <c r="K193">
        <f t="shared" si="26"/>
        <v>67</v>
      </c>
      <c r="L193" s="120">
        <f t="shared" si="27"/>
        <v>40545</v>
      </c>
      <c r="M193" s="118">
        <f t="shared" si="28"/>
        <v>112.47535921106847</v>
      </c>
      <c r="N193" s="68">
        <f t="shared" si="18"/>
        <v>2.9528353854402942</v>
      </c>
      <c r="O193" s="68">
        <f t="shared" si="19"/>
        <v>2.9098564558074607</v>
      </c>
      <c r="P193" s="68">
        <f t="shared" si="20"/>
        <v>2.8664942208834616</v>
      </c>
      <c r="Q193" s="68">
        <f t="shared" si="21"/>
        <v>2.824440681525219</v>
      </c>
      <c r="R193" s="68">
        <f t="shared" si="22"/>
        <v>2.783004097945108</v>
      </c>
      <c r="S193" s="68">
        <f t="shared" si="23"/>
        <v>2.7421754189565233</v>
      </c>
      <c r="T193" s="68">
        <f t="shared" si="24"/>
        <v>2.70067830479215</v>
      </c>
      <c r="U193" s="68">
        <f t="shared" si="25"/>
        <v>92.69587464571825</v>
      </c>
    </row>
    <row r="194" spans="11:21" ht="15">
      <c r="K194">
        <f t="shared" si="26"/>
        <v>68</v>
      </c>
      <c r="L194" s="120">
        <f t="shared" si="27"/>
        <v>40546</v>
      </c>
      <c r="M194" s="118">
        <f t="shared" si="28"/>
        <v>112.4885529884188</v>
      </c>
      <c r="N194" s="68">
        <f t="shared" si="18"/>
        <v>2.9531817639973483</v>
      </c>
      <c r="O194" s="68">
        <f t="shared" si="19"/>
        <v>2.9101977927764517</v>
      </c>
      <c r="P194" s="68">
        <f t="shared" si="20"/>
        <v>2.866830471301256</v>
      </c>
      <c r="Q194" s="68">
        <f t="shared" si="21"/>
        <v>2.824771998906667</v>
      </c>
      <c r="R194" s="68">
        <f t="shared" si="22"/>
        <v>2.7833305546614135</v>
      </c>
      <c r="S194" s="68">
        <f t="shared" si="23"/>
        <v>2.7424970863171523</v>
      </c>
      <c r="T194" s="68">
        <f t="shared" si="24"/>
        <v>2.7009951043871743</v>
      </c>
      <c r="U194" s="68">
        <f t="shared" si="25"/>
        <v>92.70674821607133</v>
      </c>
    </row>
    <row r="195" spans="11:21" ht="15">
      <c r="K195">
        <f t="shared" si="26"/>
        <v>69</v>
      </c>
      <c r="L195" s="120">
        <f t="shared" si="27"/>
        <v>40547</v>
      </c>
      <c r="M195" s="118">
        <f t="shared" si="28"/>
        <v>112.50174831344819</v>
      </c>
      <c r="N195" s="68">
        <f t="shared" si="18"/>
        <v>2.953528183185893</v>
      </c>
      <c r="O195" s="68">
        <f t="shared" si="19"/>
        <v>2.910539169785538</v>
      </c>
      <c r="P195" s="68">
        <f t="shared" si="20"/>
        <v>2.8671667611624736</v>
      </c>
      <c r="Q195" s="68">
        <f t="shared" si="21"/>
        <v>2.8251033551528746</v>
      </c>
      <c r="R195" s="68">
        <f t="shared" si="22"/>
        <v>2.7836570496723048</v>
      </c>
      <c r="S195" s="68">
        <f t="shared" si="23"/>
        <v>2.7428187914105577</v>
      </c>
      <c r="T195" s="68">
        <f t="shared" si="24"/>
        <v>2.7013119411439677</v>
      </c>
      <c r="U195" s="68">
        <f t="shared" si="25"/>
        <v>92.71762306193459</v>
      </c>
    </row>
    <row r="196" spans="11:21" ht="15">
      <c r="K196">
        <f t="shared" si="26"/>
        <v>70</v>
      </c>
      <c r="L196" s="120">
        <f t="shared" si="27"/>
        <v>40548</v>
      </c>
      <c r="M196" s="118">
        <f t="shared" si="28"/>
        <v>112.51494518633825</v>
      </c>
      <c r="N196" s="68">
        <f t="shared" si="18"/>
        <v>2.9538746430106952</v>
      </c>
      <c r="O196" s="68">
        <f t="shared" si="19"/>
        <v>2.9108805868394145</v>
      </c>
      <c r="P196" s="68">
        <f t="shared" si="20"/>
        <v>2.867503090471741</v>
      </c>
      <c r="Q196" s="68">
        <f t="shared" si="21"/>
        <v>2.8254347502684003</v>
      </c>
      <c r="R196" s="68">
        <f t="shared" si="22"/>
        <v>2.7839835829822723</v>
      </c>
      <c r="S196" s="68">
        <f t="shared" si="23"/>
        <v>2.7431405342411654</v>
      </c>
      <c r="T196" s="68">
        <f t="shared" si="24"/>
        <v>2.7016288150668895</v>
      </c>
      <c r="U196" s="68">
        <f t="shared" si="25"/>
        <v>92.72849918345767</v>
      </c>
    </row>
    <row r="197" spans="11:21" ht="15">
      <c r="K197">
        <f t="shared" si="26"/>
        <v>71</v>
      </c>
      <c r="L197" s="120">
        <f t="shared" si="27"/>
        <v>40549</v>
      </c>
      <c r="M197" s="118">
        <f t="shared" si="28"/>
        <v>112.52814360727047</v>
      </c>
      <c r="N197" s="68">
        <f t="shared" si="18"/>
        <v>2.954221143476522</v>
      </c>
      <c r="O197" s="68">
        <f t="shared" si="19"/>
        <v>2.911222043942779</v>
      </c>
      <c r="P197" s="68">
        <f t="shared" si="20"/>
        <v>2.8678394592336853</v>
      </c>
      <c r="Q197" s="68">
        <f t="shared" si="21"/>
        <v>2.8257661842578035</v>
      </c>
      <c r="R197" s="68">
        <f t="shared" si="22"/>
        <v>2.784310154595811</v>
      </c>
      <c r="S197" s="68">
        <f t="shared" si="23"/>
        <v>2.7434623148134016</v>
      </c>
      <c r="T197" s="68">
        <f t="shared" si="24"/>
        <v>2.7019457261602993</v>
      </c>
      <c r="U197" s="68">
        <f t="shared" si="25"/>
        <v>92.73937658079016</v>
      </c>
    </row>
    <row r="198" spans="11:21" ht="15">
      <c r="K198">
        <f t="shared" si="26"/>
        <v>72</v>
      </c>
      <c r="L198" s="120">
        <f t="shared" si="27"/>
        <v>40550</v>
      </c>
      <c r="M198" s="118">
        <f t="shared" si="28"/>
        <v>112.54134357642651</v>
      </c>
      <c r="N198" s="68">
        <f t="shared" si="18"/>
        <v>2.9545676845881403</v>
      </c>
      <c r="O198" s="68">
        <f t="shared" si="19"/>
        <v>2.911563541100331</v>
      </c>
      <c r="P198" s="68">
        <f t="shared" si="20"/>
        <v>2.8681758674529343</v>
      </c>
      <c r="Q198" s="68">
        <f t="shared" si="21"/>
        <v>2.826097657125645</v>
      </c>
      <c r="R198" s="68">
        <f t="shared" si="22"/>
        <v>2.7846367645174115</v>
      </c>
      <c r="S198" s="68">
        <f t="shared" si="23"/>
        <v>2.743784133131694</v>
      </c>
      <c r="T198" s="68">
        <f t="shared" si="24"/>
        <v>2.7022626744285567</v>
      </c>
      <c r="U198" s="68">
        <f t="shared" si="25"/>
        <v>92.7502552540818</v>
      </c>
    </row>
    <row r="199" spans="11:21" ht="15">
      <c r="K199">
        <f t="shared" si="26"/>
        <v>73</v>
      </c>
      <c r="L199" s="120">
        <f t="shared" si="27"/>
        <v>40551</v>
      </c>
      <c r="M199" s="118">
        <f t="shared" si="28"/>
        <v>112.55454509398794</v>
      </c>
      <c r="N199" s="68">
        <f t="shared" si="18"/>
        <v>2.9549142663503183</v>
      </c>
      <c r="O199" s="68">
        <f t="shared" si="19"/>
        <v>2.9119050783167673</v>
      </c>
      <c r="P199" s="68">
        <f t="shared" si="20"/>
        <v>2.868512315134117</v>
      </c>
      <c r="Q199" s="68">
        <f t="shared" si="21"/>
        <v>2.826429168876485</v>
      </c>
      <c r="R199" s="68">
        <f t="shared" si="22"/>
        <v>2.7849634127515697</v>
      </c>
      <c r="S199" s="68">
        <f t="shared" si="23"/>
        <v>2.7441059892004707</v>
      </c>
      <c r="T199" s="68">
        <f t="shared" si="24"/>
        <v>2.7025796598760237</v>
      </c>
      <c r="U199" s="68">
        <f t="shared" si="25"/>
        <v>92.7611352034822</v>
      </c>
    </row>
    <row r="200" spans="11:21" ht="15">
      <c r="K200">
        <f t="shared" si="26"/>
        <v>74</v>
      </c>
      <c r="L200" s="120">
        <f t="shared" si="27"/>
        <v>40552</v>
      </c>
      <c r="M200" s="118">
        <f t="shared" si="28"/>
        <v>112.56774816013642</v>
      </c>
      <c r="N200" s="68">
        <f t="shared" si="18"/>
        <v>2.9552608887678233</v>
      </c>
      <c r="O200" s="68">
        <f t="shared" si="19"/>
        <v>2.9122466555967867</v>
      </c>
      <c r="P200" s="68">
        <f t="shared" si="20"/>
        <v>2.8688488022818617</v>
      </c>
      <c r="Q200" s="68">
        <f t="shared" si="21"/>
        <v>2.8267607195148843</v>
      </c>
      <c r="R200" s="68">
        <f t="shared" si="22"/>
        <v>2.7852900993027787</v>
      </c>
      <c r="S200" s="68">
        <f t="shared" si="23"/>
        <v>2.7444278830241595</v>
      </c>
      <c r="T200" s="68">
        <f t="shared" si="24"/>
        <v>2.7028966825070606</v>
      </c>
      <c r="U200" s="68">
        <f t="shared" si="25"/>
        <v>92.77201642914106</v>
      </c>
    </row>
    <row r="201" spans="11:21" ht="15">
      <c r="K201">
        <f t="shared" si="26"/>
        <v>75</v>
      </c>
      <c r="L201" s="120">
        <f t="shared" si="27"/>
        <v>40553</v>
      </c>
      <c r="M201" s="118">
        <f t="shared" si="28"/>
        <v>112.58095277505359</v>
      </c>
      <c r="N201" s="68">
        <f t="shared" si="18"/>
        <v>2.9556075518454255</v>
      </c>
      <c r="O201" s="68">
        <f t="shared" si="19"/>
        <v>2.912588272945091</v>
      </c>
      <c r="P201" s="68">
        <f t="shared" si="20"/>
        <v>2.8691853289007994</v>
      </c>
      <c r="Q201" s="68">
        <f t="shared" si="21"/>
        <v>2.8270923090454048</v>
      </c>
      <c r="R201" s="68">
        <f t="shared" si="22"/>
        <v>2.7856168241755337</v>
      </c>
      <c r="S201" s="68">
        <f t="shared" si="23"/>
        <v>2.744749814607189</v>
      </c>
      <c r="T201" s="68">
        <f t="shared" si="24"/>
        <v>2.7032137423260294</v>
      </c>
      <c r="U201" s="68">
        <f t="shared" si="25"/>
        <v>92.78289893120812</v>
      </c>
    </row>
    <row r="202" spans="11:21" ht="15">
      <c r="K202">
        <f t="shared" si="26"/>
        <v>76</v>
      </c>
      <c r="L202" s="120">
        <f t="shared" si="27"/>
        <v>40554</v>
      </c>
      <c r="M202" s="118">
        <f t="shared" si="28"/>
        <v>112.59415893892113</v>
      </c>
      <c r="N202" s="68">
        <f t="shared" si="18"/>
        <v>2.9559542555878946</v>
      </c>
      <c r="O202" s="68">
        <f t="shared" si="19"/>
        <v>2.912929930366378</v>
      </c>
      <c r="P202" s="68">
        <f t="shared" si="20"/>
        <v>2.869521894995559</v>
      </c>
      <c r="Q202" s="68">
        <f t="shared" si="21"/>
        <v>2.8274239374726085</v>
      </c>
      <c r="R202" s="68">
        <f t="shared" si="22"/>
        <v>2.785943587374329</v>
      </c>
      <c r="S202" s="68">
        <f t="shared" si="23"/>
        <v>2.745071783953989</v>
      </c>
      <c r="T202" s="68">
        <f t="shared" si="24"/>
        <v>2.7035308393372928</v>
      </c>
      <c r="U202" s="68">
        <f t="shared" si="25"/>
        <v>92.79378270983308</v>
      </c>
    </row>
    <row r="203" spans="11:21" ht="15">
      <c r="K203">
        <f t="shared" si="26"/>
        <v>77</v>
      </c>
      <c r="L203" s="120">
        <f t="shared" si="27"/>
        <v>40555</v>
      </c>
      <c r="M203" s="118">
        <f t="shared" si="28"/>
        <v>109.65106565192075</v>
      </c>
      <c r="N203" s="68"/>
      <c r="O203" s="68">
        <f t="shared" si="19"/>
        <v>2.9132716278653494</v>
      </c>
      <c r="P203" s="68">
        <f t="shared" si="20"/>
        <v>2.869858500570771</v>
      </c>
      <c r="Q203" s="68">
        <f t="shared" si="21"/>
        <v>2.8277556048010584</v>
      </c>
      <c r="R203" s="68">
        <f t="shared" si="22"/>
        <v>2.7862703889036613</v>
      </c>
      <c r="S203" s="68">
        <f t="shared" si="23"/>
        <v>2.7453937910689894</v>
      </c>
      <c r="T203" s="68">
        <f t="shared" si="24"/>
        <v>2.703847973545213</v>
      </c>
      <c r="U203" s="68">
        <f t="shared" si="25"/>
        <v>92.8046677651657</v>
      </c>
    </row>
    <row r="204" spans="11:21" ht="15">
      <c r="K204">
        <f t="shared" si="26"/>
        <v>78</v>
      </c>
      <c r="L204" s="120">
        <f t="shared" si="27"/>
        <v>40556</v>
      </c>
      <c r="M204" s="118">
        <f t="shared" si="28"/>
        <v>109.66392812914762</v>
      </c>
      <c r="N204" s="68"/>
      <c r="O204" s="68">
        <f t="shared" si="19"/>
        <v>2.9136133654467065</v>
      </c>
      <c r="P204" s="68">
        <f t="shared" si="20"/>
        <v>2.870195145631068</v>
      </c>
      <c r="Q204" s="68">
        <f t="shared" si="21"/>
        <v>2.828087311035318</v>
      </c>
      <c r="R204" s="68">
        <f t="shared" si="22"/>
        <v>2.786597228768027</v>
      </c>
      <c r="S204" s="68">
        <f t="shared" si="23"/>
        <v>2.7457158359566196</v>
      </c>
      <c r="T204" s="68">
        <f t="shared" si="24"/>
        <v>2.7041651449541537</v>
      </c>
      <c r="U204" s="68">
        <f t="shared" si="25"/>
        <v>92.81555409735573</v>
      </c>
    </row>
    <row r="205" spans="11:21" ht="15">
      <c r="K205">
        <f t="shared" si="26"/>
        <v>79</v>
      </c>
      <c r="L205" s="120">
        <f t="shared" si="27"/>
        <v>40557</v>
      </c>
      <c r="M205" s="118">
        <f t="shared" si="28"/>
        <v>109.67679211519085</v>
      </c>
      <c r="N205" s="68"/>
      <c r="O205" s="68">
        <f t="shared" si="19"/>
        <v>2.9139551431151514</v>
      </c>
      <c r="P205" s="68">
        <f t="shared" si="20"/>
        <v>2.87053183018108</v>
      </c>
      <c r="Q205" s="68">
        <f t="shared" si="21"/>
        <v>2.828419056179951</v>
      </c>
      <c r="R205" s="68">
        <f t="shared" si="22"/>
        <v>2.7869241069719224</v>
      </c>
      <c r="S205" s="68">
        <f t="shared" si="23"/>
        <v>2.7460379186213113</v>
      </c>
      <c r="T205" s="68">
        <f t="shared" si="24"/>
        <v>2.704482353568479</v>
      </c>
      <c r="U205" s="68">
        <f t="shared" si="25"/>
        <v>92.82644170655296</v>
      </c>
    </row>
    <row r="206" spans="11:21" ht="15">
      <c r="K206">
        <f t="shared" si="26"/>
        <v>80</v>
      </c>
      <c r="L206" s="120">
        <f t="shared" si="27"/>
        <v>40558</v>
      </c>
      <c r="M206" s="118">
        <f t="shared" si="28"/>
        <v>109.68965761022741</v>
      </c>
      <c r="N206" s="68"/>
      <c r="O206" s="68">
        <f t="shared" si="19"/>
        <v>2.9142969608753857</v>
      </c>
      <c r="P206" s="68">
        <f t="shared" si="20"/>
        <v>2.8708685542254404</v>
      </c>
      <c r="Q206" s="68">
        <f t="shared" si="21"/>
        <v>2.828750840239521</v>
      </c>
      <c r="R206" s="68">
        <f t="shared" si="22"/>
        <v>2.7872510235198447</v>
      </c>
      <c r="S206" s="68">
        <f t="shared" si="23"/>
        <v>2.7463600390674965</v>
      </c>
      <c r="T206" s="68">
        <f t="shared" si="24"/>
        <v>2.7047995993925524</v>
      </c>
      <c r="U206" s="68">
        <f t="shared" si="25"/>
        <v>92.83733059290718</v>
      </c>
    </row>
    <row r="207" spans="11:21" ht="15">
      <c r="K207">
        <f t="shared" si="26"/>
        <v>81</v>
      </c>
      <c r="L207" s="120">
        <f t="shared" si="27"/>
        <v>40559</v>
      </c>
      <c r="M207" s="118">
        <f t="shared" si="28"/>
        <v>109.70252461443432</v>
      </c>
      <c r="N207" s="68"/>
      <c r="O207" s="68">
        <f t="shared" si="19"/>
        <v>2.9146388187321133</v>
      </c>
      <c r="P207" s="68">
        <f t="shared" si="20"/>
        <v>2.8712053177687813</v>
      </c>
      <c r="Q207" s="68">
        <f t="shared" si="21"/>
        <v>2.8290826632185935</v>
      </c>
      <c r="R207" s="68">
        <f t="shared" si="22"/>
        <v>2.7875779784162926</v>
      </c>
      <c r="S207" s="68">
        <f t="shared" si="23"/>
        <v>2.7466821972996054</v>
      </c>
      <c r="T207" s="68">
        <f t="shared" si="24"/>
        <v>2.705116882430739</v>
      </c>
      <c r="U207" s="68">
        <f t="shared" si="25"/>
        <v>92.8482207565682</v>
      </c>
    </row>
    <row r="208" spans="11:21" ht="15">
      <c r="K208">
        <f t="shared" si="26"/>
        <v>82</v>
      </c>
      <c r="L208" s="120">
        <f t="shared" si="27"/>
        <v>40560</v>
      </c>
      <c r="M208" s="118">
        <f t="shared" si="28"/>
        <v>109.71539312798862</v>
      </c>
      <c r="N208" s="68"/>
      <c r="O208" s="68">
        <f t="shared" si="19"/>
        <v>2.9149807166900366</v>
      </c>
      <c r="P208" s="68">
        <f t="shared" si="20"/>
        <v>2.8715421208157372</v>
      </c>
      <c r="Q208" s="68">
        <f t="shared" si="21"/>
        <v>2.829414525121734</v>
      </c>
      <c r="R208" s="68">
        <f t="shared" si="22"/>
        <v>2.787904971665764</v>
      </c>
      <c r="S208" s="68">
        <f t="shared" si="23"/>
        <v>2.747004393322072</v>
      </c>
      <c r="T208" s="68">
        <f t="shared" si="24"/>
        <v>2.705434202687405</v>
      </c>
      <c r="U208" s="68">
        <f t="shared" si="25"/>
        <v>92.85911219768587</v>
      </c>
    </row>
    <row r="209" spans="11:21" ht="15">
      <c r="K209">
        <f t="shared" si="26"/>
        <v>83</v>
      </c>
      <c r="L209" s="120">
        <f t="shared" si="27"/>
        <v>40561</v>
      </c>
      <c r="M209" s="118">
        <f t="shared" si="28"/>
        <v>109.72826315106734</v>
      </c>
      <c r="N209" s="68"/>
      <c r="O209" s="68">
        <f t="shared" si="19"/>
        <v>2.91532265475386</v>
      </c>
      <c r="P209" s="68">
        <f t="shared" si="20"/>
        <v>2.871878963370941</v>
      </c>
      <c r="Q209" s="68">
        <f t="shared" si="21"/>
        <v>2.8297464259535077</v>
      </c>
      <c r="R209" s="68">
        <f t="shared" si="22"/>
        <v>2.788232003272758</v>
      </c>
      <c r="S209" s="68">
        <f t="shared" si="23"/>
        <v>2.747326627139328</v>
      </c>
      <c r="T209" s="68">
        <f t="shared" si="24"/>
        <v>2.7057515601669144</v>
      </c>
      <c r="U209" s="68">
        <f t="shared" si="25"/>
        <v>92.87000491641002</v>
      </c>
    </row>
    <row r="210" spans="11:21" ht="15">
      <c r="K210">
        <f t="shared" si="26"/>
        <v>84</v>
      </c>
      <c r="L210" s="120">
        <f t="shared" si="27"/>
        <v>40562</v>
      </c>
      <c r="M210" s="118">
        <f t="shared" si="28"/>
        <v>109.74113468384759</v>
      </c>
      <c r="N210" s="68"/>
      <c r="O210" s="68">
        <f t="shared" si="19"/>
        <v>2.915664632928289</v>
      </c>
      <c r="P210" s="68">
        <f t="shared" si="20"/>
        <v>2.8722158454390274</v>
      </c>
      <c r="Q210" s="68">
        <f t="shared" si="21"/>
        <v>2.830078365718482</v>
      </c>
      <c r="R210" s="68">
        <f t="shared" si="22"/>
        <v>2.788559073241774</v>
      </c>
      <c r="S210" s="68">
        <f t="shared" si="23"/>
        <v>2.747648898755808</v>
      </c>
      <c r="T210" s="68">
        <f t="shared" si="24"/>
        <v>2.706068954873636</v>
      </c>
      <c r="U210" s="68">
        <f t="shared" si="25"/>
        <v>92.88089891289057</v>
      </c>
    </row>
    <row r="211" spans="11:21" ht="15">
      <c r="K211">
        <f t="shared" si="26"/>
        <v>85</v>
      </c>
      <c r="L211" s="120">
        <f t="shared" si="27"/>
        <v>40563</v>
      </c>
      <c r="M211" s="118">
        <f t="shared" si="28"/>
        <v>109.7540077265064</v>
      </c>
      <c r="N211" s="68"/>
      <c r="O211" s="68">
        <f t="shared" si="19"/>
        <v>2.9160066512180274</v>
      </c>
      <c r="P211" s="68">
        <f t="shared" si="20"/>
        <v>2.8725527670246316</v>
      </c>
      <c r="Q211" s="68">
        <f t="shared" si="21"/>
        <v>2.8304103444212236</v>
      </c>
      <c r="R211" s="68">
        <f t="shared" si="22"/>
        <v>2.7888861815773125</v>
      </c>
      <c r="S211" s="68">
        <f t="shared" si="23"/>
        <v>2.7479712081759446</v>
      </c>
      <c r="T211" s="68">
        <f t="shared" si="24"/>
        <v>2.7063863868119347</v>
      </c>
      <c r="U211" s="68">
        <f t="shared" si="25"/>
        <v>92.89179418727733</v>
      </c>
    </row>
    <row r="212" spans="11:21" ht="15">
      <c r="K212">
        <f t="shared" si="26"/>
        <v>86</v>
      </c>
      <c r="L212" s="120">
        <f t="shared" si="27"/>
        <v>40564</v>
      </c>
      <c r="M212" s="118">
        <f t="shared" si="28"/>
        <v>109.76688227922095</v>
      </c>
      <c r="N212" s="68"/>
      <c r="O212" s="68">
        <f t="shared" si="19"/>
        <v>2.9163487096277816</v>
      </c>
      <c r="P212" s="68">
        <f t="shared" si="20"/>
        <v>2.8728897281323893</v>
      </c>
      <c r="Q212" s="68">
        <f t="shared" si="21"/>
        <v>2.8307423620662995</v>
      </c>
      <c r="R212" s="68">
        <f t="shared" si="22"/>
        <v>2.789213328283873</v>
      </c>
      <c r="S212" s="68">
        <f t="shared" si="23"/>
        <v>2.7482935554041745</v>
      </c>
      <c r="T212" s="68">
        <f t="shared" si="24"/>
        <v>2.706703855986179</v>
      </c>
      <c r="U212" s="68">
        <f t="shared" si="25"/>
        <v>92.90269073972026</v>
      </c>
    </row>
    <row r="213" spans="11:21" ht="15">
      <c r="K213">
        <f t="shared" si="26"/>
        <v>87</v>
      </c>
      <c r="L213" s="120">
        <f t="shared" si="27"/>
        <v>40565</v>
      </c>
      <c r="M213" s="118">
        <f t="shared" si="28"/>
        <v>109.77975834216835</v>
      </c>
      <c r="N213" s="68"/>
      <c r="O213" s="68">
        <f t="shared" si="19"/>
        <v>2.916690808162257</v>
      </c>
      <c r="P213" s="68">
        <f t="shared" si="20"/>
        <v>2.8732267287669364</v>
      </c>
      <c r="Q213" s="68">
        <f t="shared" si="21"/>
        <v>2.831074418658279</v>
      </c>
      <c r="R213" s="68">
        <f t="shared" si="22"/>
        <v>2.789540513365958</v>
      </c>
      <c r="S213" s="68">
        <f t="shared" si="23"/>
        <v>2.748615940444931</v>
      </c>
      <c r="T213" s="68">
        <f t="shared" si="24"/>
        <v>2.707021362400736</v>
      </c>
      <c r="U213" s="68">
        <f t="shared" si="25"/>
        <v>92.91358857036924</v>
      </c>
    </row>
    <row r="214" spans="11:21" ht="15">
      <c r="K214">
        <f t="shared" si="26"/>
        <v>88</v>
      </c>
      <c r="L214" s="120">
        <f t="shared" si="27"/>
        <v>40566</v>
      </c>
      <c r="M214" s="118">
        <f t="shared" si="28"/>
        <v>109.79263591552572</v>
      </c>
      <c r="N214" s="68"/>
      <c r="O214" s="68">
        <f t="shared" si="19"/>
        <v>2.9170329468261613</v>
      </c>
      <c r="P214" s="68">
        <f t="shared" si="20"/>
        <v>2.873563768932909</v>
      </c>
      <c r="Q214" s="68">
        <f t="shared" si="21"/>
        <v>2.831406514201729</v>
      </c>
      <c r="R214" s="68">
        <f t="shared" si="22"/>
        <v>2.789867736828067</v>
      </c>
      <c r="S214" s="68">
        <f t="shared" si="23"/>
        <v>2.7489383633026496</v>
      </c>
      <c r="T214" s="68">
        <f t="shared" si="24"/>
        <v>2.707338906059975</v>
      </c>
      <c r="U214" s="68">
        <f t="shared" si="25"/>
        <v>92.92448767937422</v>
      </c>
    </row>
    <row r="215" spans="11:21" ht="15">
      <c r="K215">
        <f t="shared" si="26"/>
        <v>89</v>
      </c>
      <c r="L215" s="120">
        <f t="shared" si="27"/>
        <v>40567</v>
      </c>
      <c r="M215" s="118">
        <f t="shared" si="28"/>
        <v>109.80551499947029</v>
      </c>
      <c r="N215" s="68"/>
      <c r="O215" s="68">
        <f t="shared" si="19"/>
        <v>2.9173751256242015</v>
      </c>
      <c r="P215" s="68">
        <f t="shared" si="20"/>
        <v>2.8739008486349453</v>
      </c>
      <c r="Q215" s="68">
        <f t="shared" si="21"/>
        <v>2.8317386487012204</v>
      </c>
      <c r="R215" s="68">
        <f t="shared" si="22"/>
        <v>2.7901949986747043</v>
      </c>
      <c r="S215" s="68">
        <f t="shared" si="23"/>
        <v>2.749260823981767</v>
      </c>
      <c r="T215" s="68">
        <f t="shared" si="24"/>
        <v>2.7076564869682644</v>
      </c>
      <c r="U215" s="68">
        <f t="shared" si="25"/>
        <v>92.93538806688518</v>
      </c>
    </row>
    <row r="216" spans="11:21" ht="15">
      <c r="K216">
        <f t="shared" si="26"/>
        <v>90</v>
      </c>
      <c r="L216" s="120">
        <f t="shared" si="27"/>
        <v>40568</v>
      </c>
      <c r="M216" s="118">
        <f t="shared" si="28"/>
        <v>109.81839559417922</v>
      </c>
      <c r="N216" s="68"/>
      <c r="O216" s="68">
        <f t="shared" si="19"/>
        <v>2.917717344561085</v>
      </c>
      <c r="P216" s="68">
        <f t="shared" si="20"/>
        <v>2.8742379678776824</v>
      </c>
      <c r="Q216" s="68">
        <f t="shared" si="21"/>
        <v>2.8320708221613216</v>
      </c>
      <c r="R216" s="68">
        <f t="shared" si="22"/>
        <v>2.790522298910371</v>
      </c>
      <c r="S216" s="68">
        <f t="shared" si="23"/>
        <v>2.7495833224867194</v>
      </c>
      <c r="T216" s="68">
        <f t="shared" si="24"/>
        <v>2.707974105129974</v>
      </c>
      <c r="U216" s="68">
        <f t="shared" si="25"/>
        <v>92.94628973305207</v>
      </c>
    </row>
    <row r="217" spans="11:21" ht="15">
      <c r="K217">
        <f t="shared" si="26"/>
        <v>91</v>
      </c>
      <c r="L217" s="120">
        <f t="shared" si="27"/>
        <v>40569</v>
      </c>
      <c r="M217" s="118">
        <f t="shared" si="28"/>
        <v>109.83127769982977</v>
      </c>
      <c r="N217" s="68"/>
      <c r="O217" s="68">
        <f t="shared" si="19"/>
        <v>2.918059603641522</v>
      </c>
      <c r="P217" s="68">
        <f t="shared" si="20"/>
        <v>2.874575126665759</v>
      </c>
      <c r="Q217" s="68">
        <f t="shared" si="21"/>
        <v>2.8324030345866036</v>
      </c>
      <c r="R217" s="68">
        <f t="shared" si="22"/>
        <v>2.790849637539571</v>
      </c>
      <c r="S217" s="68">
        <f t="shared" si="23"/>
        <v>2.7499058588219447</v>
      </c>
      <c r="T217" s="68">
        <f t="shared" si="24"/>
        <v>2.7082917605494736</v>
      </c>
      <c r="U217" s="68">
        <f t="shared" si="25"/>
        <v>92.9571926780249</v>
      </c>
    </row>
    <row r="218" spans="11:21" ht="15">
      <c r="K218">
        <f t="shared" si="26"/>
        <v>92</v>
      </c>
      <c r="L218" s="120">
        <f t="shared" si="27"/>
        <v>40570</v>
      </c>
      <c r="M218" s="118">
        <f t="shared" si="28"/>
        <v>109.84416131659914</v>
      </c>
      <c r="N218" s="68"/>
      <c r="O218" s="68">
        <f t="shared" si="19"/>
        <v>2.9184019028702193</v>
      </c>
      <c r="P218" s="68">
        <f t="shared" si="20"/>
        <v>2.8749123250038124</v>
      </c>
      <c r="Q218" s="68">
        <f t="shared" si="21"/>
        <v>2.8327352859816366</v>
      </c>
      <c r="R218" s="68">
        <f t="shared" si="22"/>
        <v>2.7911770145668084</v>
      </c>
      <c r="S218" s="68">
        <f t="shared" si="23"/>
        <v>2.75022843299188</v>
      </c>
      <c r="T218" s="68">
        <f t="shared" si="24"/>
        <v>2.708609453231133</v>
      </c>
      <c r="U218" s="68">
        <f t="shared" si="25"/>
        <v>92.96809690195366</v>
      </c>
    </row>
    <row r="219" spans="11:21" ht="15">
      <c r="K219">
        <f t="shared" si="26"/>
        <v>93</v>
      </c>
      <c r="L219" s="120">
        <f t="shared" si="27"/>
        <v>40571</v>
      </c>
      <c r="M219" s="118">
        <f t="shared" si="28"/>
        <v>109.85704644466463</v>
      </c>
      <c r="N219" s="68"/>
      <c r="O219" s="68">
        <f t="shared" si="19"/>
        <v>2.9187442422518877</v>
      </c>
      <c r="P219" s="68">
        <f t="shared" si="20"/>
        <v>2.875249562896484</v>
      </c>
      <c r="Q219" s="68">
        <f t="shared" si="21"/>
        <v>2.833067576350992</v>
      </c>
      <c r="R219" s="68">
        <f t="shared" si="22"/>
        <v>2.7915044299965865</v>
      </c>
      <c r="S219" s="68">
        <f t="shared" si="23"/>
        <v>2.750551045000963</v>
      </c>
      <c r="T219" s="68">
        <f t="shared" si="24"/>
        <v>2.7089271831793242</v>
      </c>
      <c r="U219" s="68">
        <f t="shared" si="25"/>
        <v>92.97900240498839</v>
      </c>
    </row>
    <row r="220" spans="11:21" ht="15">
      <c r="K220">
        <f t="shared" si="26"/>
        <v>94</v>
      </c>
      <c r="L220" s="120">
        <f t="shared" si="27"/>
        <v>40572</v>
      </c>
      <c r="M220" s="118">
        <f t="shared" si="28"/>
        <v>109.86993308420347</v>
      </c>
      <c r="N220" s="68"/>
      <c r="O220" s="68">
        <f t="shared" si="19"/>
        <v>2.9190866217912372</v>
      </c>
      <c r="P220" s="68">
        <f t="shared" si="20"/>
        <v>2.875586840348413</v>
      </c>
      <c r="Q220" s="68">
        <f t="shared" si="21"/>
        <v>2.833399905699242</v>
      </c>
      <c r="R220" s="68">
        <f t="shared" si="22"/>
        <v>2.79183188383341</v>
      </c>
      <c r="S220" s="68">
        <f t="shared" si="23"/>
        <v>2.750873694853633</v>
      </c>
      <c r="T220" s="68">
        <f t="shared" si="24"/>
        <v>2.709244950398418</v>
      </c>
      <c r="U220" s="68">
        <f t="shared" si="25"/>
        <v>92.98990918727911</v>
      </c>
    </row>
    <row r="221" spans="11:21" ht="15">
      <c r="K221">
        <f t="shared" si="26"/>
        <v>95</v>
      </c>
      <c r="L221" s="120">
        <f t="shared" si="27"/>
        <v>40573</v>
      </c>
      <c r="M221" s="118">
        <f t="shared" si="28"/>
        <v>109.882821235393</v>
      </c>
      <c r="N221" s="68"/>
      <c r="O221" s="68">
        <f t="shared" si="19"/>
        <v>2.919429041492978</v>
      </c>
      <c r="P221" s="68">
        <f t="shared" si="20"/>
        <v>2.8759241573642393</v>
      </c>
      <c r="Q221" s="68">
        <f t="shared" si="21"/>
        <v>2.8337322740309587</v>
      </c>
      <c r="R221" s="68">
        <f t="shared" si="22"/>
        <v>2.792159376081786</v>
      </c>
      <c r="S221" s="68">
        <f t="shared" si="23"/>
        <v>2.751196382554329</v>
      </c>
      <c r="T221" s="68">
        <f t="shared" si="24"/>
        <v>2.7095627548927874</v>
      </c>
      <c r="U221" s="68">
        <f t="shared" si="25"/>
        <v>93.00081724897592</v>
      </c>
    </row>
    <row r="222" spans="11:21" ht="15">
      <c r="K222">
        <f t="shared" si="26"/>
        <v>96</v>
      </c>
      <c r="L222" s="120">
        <f t="shared" si="27"/>
        <v>40574</v>
      </c>
      <c r="M222" s="118">
        <f t="shared" si="28"/>
        <v>109.89571089841051</v>
      </c>
      <c r="N222" s="68"/>
      <c r="O222" s="68">
        <f t="shared" si="19"/>
        <v>2.9197715013618213</v>
      </c>
      <c r="P222" s="68">
        <f t="shared" si="20"/>
        <v>2.8762615139486045</v>
      </c>
      <c r="Q222" s="68">
        <f t="shared" si="21"/>
        <v>2.8340646813507155</v>
      </c>
      <c r="R222" s="68">
        <f t="shared" si="22"/>
        <v>2.792486906746218</v>
      </c>
      <c r="S222" s="68">
        <f t="shared" si="23"/>
        <v>2.751519108107491</v>
      </c>
      <c r="T222" s="68">
        <f t="shared" si="24"/>
        <v>2.709880596666804</v>
      </c>
      <c r="U222" s="68">
        <f t="shared" si="25"/>
        <v>93.01172659022886</v>
      </c>
    </row>
    <row r="223" spans="11:21" ht="15">
      <c r="K223">
        <f t="shared" si="26"/>
        <v>97</v>
      </c>
      <c r="L223" s="120">
        <f t="shared" si="27"/>
        <v>40575</v>
      </c>
      <c r="M223" s="118">
        <f t="shared" si="28"/>
        <v>109.90860207343337</v>
      </c>
      <c r="N223" s="68"/>
      <c r="O223" s="68">
        <f t="shared" si="19"/>
        <v>2.920114001402479</v>
      </c>
      <c r="P223" s="68">
        <f t="shared" si="20"/>
        <v>2.87659891010615</v>
      </c>
      <c r="Q223" s="68">
        <f t="shared" si="21"/>
        <v>2.834397127663085</v>
      </c>
      <c r="R223" s="68">
        <f t="shared" si="22"/>
        <v>2.7928144758312134</v>
      </c>
      <c r="S223" s="68">
        <f t="shared" si="23"/>
        <v>2.751841871517558</v>
      </c>
      <c r="T223" s="68">
        <f t="shared" si="24"/>
        <v>2.710198475724841</v>
      </c>
      <c r="U223" s="68">
        <f t="shared" si="25"/>
        <v>93.02263721118806</v>
      </c>
    </row>
    <row r="224" spans="11:21" ht="15">
      <c r="K224">
        <f t="shared" si="26"/>
        <v>98</v>
      </c>
      <c r="L224" s="120">
        <f t="shared" si="27"/>
        <v>40576</v>
      </c>
      <c r="M224" s="118">
        <f t="shared" si="28"/>
        <v>109.92149476063896</v>
      </c>
      <c r="N224" s="68"/>
      <c r="O224" s="68">
        <f t="shared" si="19"/>
        <v>2.9204565416196635</v>
      </c>
      <c r="P224" s="68">
        <f t="shared" si="20"/>
        <v>2.876936345841518</v>
      </c>
      <c r="Q224" s="68">
        <f t="shared" si="21"/>
        <v>2.834729612972642</v>
      </c>
      <c r="R224" s="68">
        <f t="shared" si="22"/>
        <v>2.7931420833412792</v>
      </c>
      <c r="S224" s="68">
        <f t="shared" si="23"/>
        <v>2.7521646727889726</v>
      </c>
      <c r="T224" s="68">
        <f t="shared" si="24"/>
        <v>2.710516392071272</v>
      </c>
      <c r="U224" s="68">
        <f t="shared" si="25"/>
        <v>93.03354911200361</v>
      </c>
    </row>
    <row r="225" spans="11:21" ht="15">
      <c r="K225">
        <f t="shared" si="26"/>
        <v>99</v>
      </c>
      <c r="L225" s="120">
        <f t="shared" si="27"/>
        <v>40577</v>
      </c>
      <c r="M225" s="118">
        <f t="shared" si="28"/>
        <v>109.93438896020461</v>
      </c>
      <c r="N225" s="68"/>
      <c r="O225" s="68">
        <f t="shared" si="19"/>
        <v>2.9207991220180873</v>
      </c>
      <c r="P225" s="68">
        <f t="shared" si="20"/>
        <v>2.87727382115935</v>
      </c>
      <c r="Q225" s="68">
        <f t="shared" si="21"/>
        <v>2.83506213728396</v>
      </c>
      <c r="R225" s="68">
        <f t="shared" si="22"/>
        <v>2.7934697292809227</v>
      </c>
      <c r="S225" s="68">
        <f t="shared" si="23"/>
        <v>2.7524875119261747</v>
      </c>
      <c r="T225" s="68">
        <f t="shared" si="24"/>
        <v>2.710834345710471</v>
      </c>
      <c r="U225" s="68">
        <f t="shared" si="25"/>
        <v>93.04446229282564</v>
      </c>
    </row>
    <row r="226" spans="11:21" ht="15">
      <c r="K226">
        <f t="shared" si="26"/>
        <v>100</v>
      </c>
      <c r="L226" s="120">
        <f t="shared" si="27"/>
        <v>40578</v>
      </c>
      <c r="M226" s="118">
        <f t="shared" si="28"/>
        <v>109.94728467230777</v>
      </c>
      <c r="N226" s="68"/>
      <c r="O226" s="68">
        <f t="shared" si="19"/>
        <v>2.921141742602465</v>
      </c>
      <c r="P226" s="68">
        <f t="shared" si="20"/>
        <v>2.8776113360642914</v>
      </c>
      <c r="Q226" s="68">
        <f t="shared" si="21"/>
        <v>2.835394700601615</v>
      </c>
      <c r="R226" s="68">
        <f t="shared" si="22"/>
        <v>2.7937974136546515</v>
      </c>
      <c r="S226" s="68">
        <f t="shared" si="23"/>
        <v>2.7528103889336064</v>
      </c>
      <c r="T226" s="68">
        <f t="shared" si="24"/>
        <v>2.7111523366468133</v>
      </c>
      <c r="U226" s="68">
        <f t="shared" si="25"/>
        <v>93.05537675380432</v>
      </c>
    </row>
    <row r="227" spans="11:21" ht="15">
      <c r="K227">
        <f t="shared" si="26"/>
        <v>101</v>
      </c>
      <c r="L227" s="120">
        <f t="shared" si="27"/>
        <v>40579</v>
      </c>
      <c r="M227" s="118">
        <f t="shared" si="28"/>
        <v>109.96018189712586</v>
      </c>
      <c r="N227" s="68"/>
      <c r="O227" s="68">
        <f t="shared" si="19"/>
        <v>2.921484403377509</v>
      </c>
      <c r="P227" s="68">
        <f t="shared" si="20"/>
        <v>2.8779488905609836</v>
      </c>
      <c r="Q227" s="68">
        <f t="shared" si="21"/>
        <v>2.835727302930182</v>
      </c>
      <c r="R227" s="68">
        <f t="shared" si="22"/>
        <v>2.794125136466974</v>
      </c>
      <c r="S227" s="68">
        <f t="shared" si="23"/>
        <v>2.753133303815711</v>
      </c>
      <c r="T227" s="68">
        <f t="shared" si="24"/>
        <v>2.7114703648846734</v>
      </c>
      <c r="U227" s="68">
        <f t="shared" si="25"/>
        <v>93.06629249508983</v>
      </c>
    </row>
    <row r="228" spans="11:21" ht="15">
      <c r="K228">
        <f t="shared" si="26"/>
        <v>102</v>
      </c>
      <c r="L228" s="120">
        <f t="shared" si="27"/>
        <v>40580</v>
      </c>
      <c r="M228" s="118">
        <f t="shared" si="28"/>
        <v>109.9730806348363</v>
      </c>
      <c r="N228" s="68"/>
      <c r="O228" s="68">
        <f t="shared" si="19"/>
        <v>2.9218271043479347</v>
      </c>
      <c r="P228" s="68">
        <f t="shared" si="20"/>
        <v>2.8782864846540726</v>
      </c>
      <c r="Q228" s="68">
        <f t="shared" si="21"/>
        <v>2.836059944274238</v>
      </c>
      <c r="R228" s="68">
        <f t="shared" si="22"/>
        <v>2.7944528977224</v>
      </c>
      <c r="S228" s="68">
        <f t="shared" si="23"/>
        <v>2.75345625657693</v>
      </c>
      <c r="T228" s="68">
        <f t="shared" si="24"/>
        <v>2.711788430428426</v>
      </c>
      <c r="U228" s="68">
        <f t="shared" si="25"/>
        <v>93.0772095168323</v>
      </c>
    </row>
    <row r="229" spans="11:21" ht="15">
      <c r="K229">
        <f t="shared" si="26"/>
        <v>103</v>
      </c>
      <c r="L229" s="120">
        <f t="shared" si="27"/>
        <v>40581</v>
      </c>
      <c r="M229" s="118">
        <f t="shared" si="28"/>
        <v>109.98598088561657</v>
      </c>
      <c r="N229" s="68"/>
      <c r="O229" s="68">
        <f t="shared" si="19"/>
        <v>2.9221698455184573</v>
      </c>
      <c r="P229" s="68">
        <f t="shared" si="20"/>
        <v>2.8786241183482018</v>
      </c>
      <c r="Q229" s="68">
        <f t="shared" si="21"/>
        <v>2.836392624638358</v>
      </c>
      <c r="R229" s="68">
        <f t="shared" si="22"/>
        <v>2.7947806974254386</v>
      </c>
      <c r="S229" s="68">
        <f t="shared" si="23"/>
        <v>2.753779247221707</v>
      </c>
      <c r="T229" s="68">
        <f t="shared" si="24"/>
        <v>2.7121065332824488</v>
      </c>
      <c r="U229" s="68">
        <f t="shared" si="25"/>
        <v>93.08812781918196</v>
      </c>
    </row>
    <row r="230" spans="11:21" ht="15">
      <c r="K230">
        <f t="shared" si="26"/>
        <v>104</v>
      </c>
      <c r="L230" s="120">
        <f t="shared" si="27"/>
        <v>40582</v>
      </c>
      <c r="M230" s="118">
        <f t="shared" si="28"/>
        <v>109.9988826496442</v>
      </c>
      <c r="N230" s="68"/>
      <c r="O230" s="68">
        <f t="shared" si="19"/>
        <v>2.9225126268937918</v>
      </c>
      <c r="P230" s="68">
        <f t="shared" si="20"/>
        <v>2.8789617916480177</v>
      </c>
      <c r="Q230" s="68">
        <f t="shared" si="21"/>
        <v>2.8367253440271214</v>
      </c>
      <c r="R230" s="68">
        <f t="shared" si="22"/>
        <v>2.7951085355805994</v>
      </c>
      <c r="S230" s="68">
        <f t="shared" si="23"/>
        <v>2.7541022757544864</v>
      </c>
      <c r="T230" s="68">
        <f t="shared" si="24"/>
        <v>2.7124246734511175</v>
      </c>
      <c r="U230" s="68">
        <f t="shared" si="25"/>
        <v>93.09904740228906</v>
      </c>
    </row>
    <row r="231" spans="11:21" ht="15">
      <c r="K231">
        <f t="shared" si="26"/>
        <v>105</v>
      </c>
      <c r="L231" s="120">
        <f t="shared" si="27"/>
        <v>40583</v>
      </c>
      <c r="M231" s="118">
        <f t="shared" si="28"/>
        <v>110.01178592709664</v>
      </c>
      <c r="N231" s="68"/>
      <c r="O231" s="68">
        <f t="shared" si="19"/>
        <v>2.9228554484786544</v>
      </c>
      <c r="P231" s="68">
        <f t="shared" si="20"/>
        <v>2.879299504558165</v>
      </c>
      <c r="Q231" s="68">
        <f t="shared" si="21"/>
        <v>2.8370581024451043</v>
      </c>
      <c r="R231" s="68">
        <f t="shared" si="22"/>
        <v>2.7954364121923936</v>
      </c>
      <c r="S231" s="68">
        <f t="shared" si="23"/>
        <v>2.7544253421797125</v>
      </c>
      <c r="T231" s="68">
        <f t="shared" si="24"/>
        <v>2.71274285093881</v>
      </c>
      <c r="U231" s="68">
        <f t="shared" si="25"/>
        <v>93.10996826630381</v>
      </c>
    </row>
    <row r="232" spans="11:21" ht="15">
      <c r="K232">
        <f t="shared" si="26"/>
        <v>106</v>
      </c>
      <c r="L232" s="120">
        <f t="shared" si="27"/>
        <v>40584</v>
      </c>
      <c r="M232" s="118">
        <f t="shared" si="28"/>
        <v>110.02469071815148</v>
      </c>
      <c r="N232" s="68"/>
      <c r="O232" s="68">
        <f t="shared" si="19"/>
        <v>2.9231983102777623</v>
      </c>
      <c r="P232" s="68">
        <f t="shared" si="20"/>
        <v>2.8796372570832918</v>
      </c>
      <c r="Q232" s="68">
        <f t="shared" si="21"/>
        <v>2.837390899896885</v>
      </c>
      <c r="R232" s="68">
        <f t="shared" si="22"/>
        <v>2.795764327265332</v>
      </c>
      <c r="S232" s="68">
        <f t="shared" si="23"/>
        <v>2.7547484465018304</v>
      </c>
      <c r="T232" s="68">
        <f t="shared" si="24"/>
        <v>2.713061065749903</v>
      </c>
      <c r="U232" s="68">
        <f t="shared" si="25"/>
        <v>93.12089041137646</v>
      </c>
    </row>
    <row r="233" spans="11:21" ht="15">
      <c r="K233">
        <f t="shared" si="26"/>
        <v>107</v>
      </c>
      <c r="L233" s="120">
        <f t="shared" si="27"/>
        <v>40585</v>
      </c>
      <c r="M233" s="118">
        <f t="shared" si="28"/>
        <v>110.03759702298618</v>
      </c>
      <c r="N233" s="68"/>
      <c r="O233" s="68">
        <f t="shared" si="19"/>
        <v>2.9235412122958326</v>
      </c>
      <c r="P233" s="68">
        <f t="shared" si="20"/>
        <v>2.879975049228044</v>
      </c>
      <c r="Q233" s="68">
        <f t="shared" si="21"/>
        <v>2.8377237363870433</v>
      </c>
      <c r="R233" s="68">
        <f t="shared" si="22"/>
        <v>2.796092280803926</v>
      </c>
      <c r="S233" s="68">
        <f t="shared" si="23"/>
        <v>2.7550715887252846</v>
      </c>
      <c r="T233" s="68">
        <f t="shared" si="24"/>
        <v>2.713379317888775</v>
      </c>
      <c r="U233" s="68">
        <f t="shared" si="25"/>
        <v>93.13181383765728</v>
      </c>
    </row>
    <row r="234" spans="11:21" ht="15">
      <c r="K234">
        <f t="shared" si="26"/>
        <v>108</v>
      </c>
      <c r="L234" s="120">
        <f t="shared" si="27"/>
        <v>40586</v>
      </c>
      <c r="M234" s="118">
        <f t="shared" si="28"/>
        <v>110.0505048417784</v>
      </c>
      <c r="N234" s="68"/>
      <c r="O234" s="68">
        <f t="shared" si="19"/>
        <v>2.9238841545375833</v>
      </c>
      <c r="P234" s="68">
        <f t="shared" si="20"/>
        <v>2.880312880997069</v>
      </c>
      <c r="Q234" s="68">
        <f t="shared" si="21"/>
        <v>2.838056611920158</v>
      </c>
      <c r="R234" s="68">
        <f t="shared" si="22"/>
        <v>2.7964202728126883</v>
      </c>
      <c r="S234" s="68">
        <f t="shared" si="23"/>
        <v>2.7553947688545217</v>
      </c>
      <c r="T234" s="68">
        <f t="shared" si="24"/>
        <v>2.7136976073598054</v>
      </c>
      <c r="U234" s="68">
        <f t="shared" si="25"/>
        <v>93.14273854529658</v>
      </c>
    </row>
    <row r="235" spans="11:21" ht="15">
      <c r="K235">
        <f t="shared" si="26"/>
        <v>109</v>
      </c>
      <c r="L235" s="120">
        <f t="shared" si="27"/>
        <v>40587</v>
      </c>
      <c r="M235" s="118">
        <f t="shared" si="28"/>
        <v>110.06341417470571</v>
      </c>
      <c r="N235" s="68"/>
      <c r="O235" s="68">
        <f t="shared" si="19"/>
        <v>2.924227137007732</v>
      </c>
      <c r="P235" s="68">
        <f t="shared" si="20"/>
        <v>2.8806507523950153</v>
      </c>
      <c r="Q235" s="68">
        <f t="shared" si="21"/>
        <v>2.838389526500808</v>
      </c>
      <c r="R235" s="68">
        <f t="shared" si="22"/>
        <v>2.7967483032961313</v>
      </c>
      <c r="S235" s="68">
        <f t="shared" si="23"/>
        <v>2.755717986893989</v>
      </c>
      <c r="T235" s="68">
        <f t="shared" si="24"/>
        <v>2.714015934167372</v>
      </c>
      <c r="U235" s="68">
        <f t="shared" si="25"/>
        <v>93.15366453444466</v>
      </c>
    </row>
    <row r="236" spans="11:21" ht="15">
      <c r="K236">
        <f t="shared" si="26"/>
        <v>110</v>
      </c>
      <c r="L236" s="120">
        <f t="shared" si="27"/>
        <v>40588</v>
      </c>
      <c r="M236" s="118">
        <f t="shared" si="28"/>
        <v>110.0763250219457</v>
      </c>
      <c r="N236" s="68"/>
      <c r="O236" s="68">
        <f t="shared" si="19"/>
        <v>2.9245701597109988</v>
      </c>
      <c r="P236" s="68">
        <f t="shared" si="20"/>
        <v>2.8809886634265314</v>
      </c>
      <c r="Q236" s="68">
        <f t="shared" si="21"/>
        <v>2.8387224801335758</v>
      </c>
      <c r="R236" s="68">
        <f t="shared" si="22"/>
        <v>2.797076372258768</v>
      </c>
      <c r="S236" s="68">
        <f t="shared" si="23"/>
        <v>2.7560412428481316</v>
      </c>
      <c r="T236" s="68">
        <f t="shared" si="24"/>
        <v>2.714334298315856</v>
      </c>
      <c r="U236" s="68">
        <f t="shared" si="25"/>
        <v>93.16459180525185</v>
      </c>
    </row>
    <row r="237" spans="11:21" ht="15">
      <c r="K237">
        <f t="shared" si="26"/>
        <v>111</v>
      </c>
      <c r="L237" s="120">
        <f t="shared" si="27"/>
        <v>40589</v>
      </c>
      <c r="M237" s="118">
        <f t="shared" si="28"/>
        <v>110.08923738367604</v>
      </c>
      <c r="N237" s="68"/>
      <c r="O237" s="68">
        <f t="shared" si="19"/>
        <v>2.9249132226521026</v>
      </c>
      <c r="P237" s="68">
        <f t="shared" si="20"/>
        <v>2.8813266140962663</v>
      </c>
      <c r="Q237" s="68">
        <f t="shared" si="21"/>
        <v>2.839055472823041</v>
      </c>
      <c r="R237" s="68">
        <f t="shared" si="22"/>
        <v>2.7974044797051127</v>
      </c>
      <c r="S237" s="68">
        <f t="shared" si="23"/>
        <v>2.756364536721399</v>
      </c>
      <c r="T237" s="68">
        <f t="shared" si="24"/>
        <v>2.714652699809637</v>
      </c>
      <c r="U237" s="68">
        <f t="shared" si="25"/>
        <v>93.17552035786848</v>
      </c>
    </row>
    <row r="238" spans="11:21" ht="15">
      <c r="K238">
        <f t="shared" si="26"/>
        <v>112</v>
      </c>
      <c r="L238" s="120">
        <f t="shared" si="27"/>
        <v>40590</v>
      </c>
      <c r="M238" s="118">
        <f t="shared" si="28"/>
        <v>110.10215126007435</v>
      </c>
      <c r="N238" s="68"/>
      <c r="O238" s="68">
        <f t="shared" si="19"/>
        <v>2.9252563258357633</v>
      </c>
      <c r="P238" s="68">
        <f t="shared" si="20"/>
        <v>2.8816646044088703</v>
      </c>
      <c r="Q238" s="68">
        <f t="shared" si="21"/>
        <v>2.839388504573785</v>
      </c>
      <c r="R238" s="68">
        <f t="shared" si="22"/>
        <v>2.7977326256396795</v>
      </c>
      <c r="S238" s="68">
        <f t="shared" si="23"/>
        <v>2.7566878685182377</v>
      </c>
      <c r="T238" s="68">
        <f t="shared" si="24"/>
        <v>2.7149711386530955</v>
      </c>
      <c r="U238" s="68">
        <f t="shared" si="25"/>
        <v>93.18645019244492</v>
      </c>
    </row>
    <row r="239" spans="11:21" ht="15">
      <c r="K239">
        <f t="shared" si="26"/>
        <v>113</v>
      </c>
      <c r="L239" s="120">
        <f t="shared" si="27"/>
        <v>40591</v>
      </c>
      <c r="M239" s="118">
        <f t="shared" si="28"/>
        <v>110.11506665131833</v>
      </c>
      <c r="N239" s="68"/>
      <c r="O239" s="68">
        <f t="shared" si="19"/>
        <v>2.925599469266701</v>
      </c>
      <c r="P239" s="68">
        <f t="shared" si="20"/>
        <v>2.882002634368993</v>
      </c>
      <c r="Q239" s="68">
        <f t="shared" si="21"/>
        <v>2.839721575390391</v>
      </c>
      <c r="R239" s="68">
        <f t="shared" si="22"/>
        <v>2.798060810066983</v>
      </c>
      <c r="S239" s="68">
        <f t="shared" si="23"/>
        <v>2.7570112382430976</v>
      </c>
      <c r="T239" s="68">
        <f t="shared" si="24"/>
        <v>2.7152896148506125</v>
      </c>
      <c r="U239" s="68">
        <f t="shared" si="25"/>
        <v>93.19738130913154</v>
      </c>
    </row>
    <row r="240" spans="11:21" ht="15">
      <c r="K240">
        <f t="shared" si="26"/>
        <v>114</v>
      </c>
      <c r="L240" s="120">
        <f t="shared" si="27"/>
        <v>40592</v>
      </c>
      <c r="M240" s="118">
        <f t="shared" si="28"/>
        <v>110.12798355758567</v>
      </c>
      <c r="N240" s="68"/>
      <c r="O240" s="68">
        <f t="shared" si="19"/>
        <v>2.925942652949639</v>
      </c>
      <c r="P240" s="68">
        <f t="shared" si="20"/>
        <v>2.882340703981285</v>
      </c>
      <c r="Q240" s="68">
        <f t="shared" si="21"/>
        <v>2.84005468527744</v>
      </c>
      <c r="R240" s="68">
        <f t="shared" si="22"/>
        <v>2.7983890329915386</v>
      </c>
      <c r="S240" s="68">
        <f t="shared" si="23"/>
        <v>2.757334645900427</v>
      </c>
      <c r="T240" s="68">
        <f t="shared" si="24"/>
        <v>2.715608128406571</v>
      </c>
      <c r="U240" s="68">
        <f t="shared" si="25"/>
        <v>93.20831370807876</v>
      </c>
    </row>
    <row r="241" spans="11:21" ht="15">
      <c r="K241">
        <f t="shared" si="26"/>
        <v>115</v>
      </c>
      <c r="L241" s="120">
        <f t="shared" si="27"/>
        <v>40593</v>
      </c>
      <c r="M241" s="118">
        <f t="shared" si="28"/>
        <v>110.14090197905406</v>
      </c>
      <c r="N241" s="68"/>
      <c r="O241" s="68">
        <f t="shared" si="19"/>
        <v>2.9262858768892963</v>
      </c>
      <c r="P241" s="68">
        <f t="shared" si="20"/>
        <v>2.882678813250398</v>
      </c>
      <c r="Q241" s="68">
        <f t="shared" si="21"/>
        <v>2.8403878342395164</v>
      </c>
      <c r="R241" s="68">
        <f t="shared" si="22"/>
        <v>2.798717294417862</v>
      </c>
      <c r="S241" s="68">
        <f t="shared" si="23"/>
        <v>2.7576580914946756</v>
      </c>
      <c r="T241" s="68">
        <f t="shared" si="24"/>
        <v>2.7159266793253525</v>
      </c>
      <c r="U241" s="68">
        <f t="shared" si="25"/>
        <v>93.21924738943696</v>
      </c>
    </row>
    <row r="242" spans="11:21" ht="15">
      <c r="K242">
        <f t="shared" si="26"/>
        <v>116</v>
      </c>
      <c r="L242" s="120">
        <f t="shared" si="27"/>
        <v>40594</v>
      </c>
      <c r="M242" s="118">
        <f t="shared" si="28"/>
        <v>110.15382191590129</v>
      </c>
      <c r="N242" s="68"/>
      <c r="O242" s="68">
        <f t="shared" si="19"/>
        <v>2.926629141090397</v>
      </c>
      <c r="P242" s="68">
        <f t="shared" si="20"/>
        <v>2.8830169621809847</v>
      </c>
      <c r="Q242" s="68">
        <f t="shared" si="21"/>
        <v>2.840721022281203</v>
      </c>
      <c r="R242" s="68">
        <f t="shared" si="22"/>
        <v>2.79904559435047</v>
      </c>
      <c r="S242" s="68">
        <f t="shared" si="23"/>
        <v>2.7579815750302936</v>
      </c>
      <c r="T242" s="68">
        <f t="shared" si="24"/>
        <v>2.716245267611339</v>
      </c>
      <c r="U242" s="68">
        <f t="shared" si="25"/>
        <v>93.2301823533566</v>
      </c>
    </row>
    <row r="243" spans="11:21" ht="15">
      <c r="K243">
        <f t="shared" si="26"/>
        <v>117</v>
      </c>
      <c r="L243" s="120">
        <f t="shared" si="27"/>
        <v>40595</v>
      </c>
      <c r="M243" s="118">
        <f t="shared" si="28"/>
        <v>110.16674336830508</v>
      </c>
      <c r="N243" s="68"/>
      <c r="O243" s="68">
        <f t="shared" si="19"/>
        <v>2.9269724455576633</v>
      </c>
      <c r="P243" s="68">
        <f t="shared" si="20"/>
        <v>2.8833551507776964</v>
      </c>
      <c r="Q243" s="68">
        <f t="shared" si="21"/>
        <v>2.8410542494070836</v>
      </c>
      <c r="R243" s="68">
        <f t="shared" si="22"/>
        <v>2.7993739327938796</v>
      </c>
      <c r="S243" s="68">
        <f t="shared" si="23"/>
        <v>2.758305096511732</v>
      </c>
      <c r="T243" s="68">
        <f t="shared" si="24"/>
        <v>2.7165638932689156</v>
      </c>
      <c r="U243" s="68">
        <f t="shared" si="25"/>
        <v>93.24111859998811</v>
      </c>
    </row>
    <row r="244" spans="11:21" ht="15">
      <c r="K244">
        <f t="shared" si="26"/>
        <v>118</v>
      </c>
      <c r="L244" s="120">
        <f t="shared" si="27"/>
        <v>40596</v>
      </c>
      <c r="M244" s="118">
        <f t="shared" si="28"/>
        <v>110.17966633644325</v>
      </c>
      <c r="N244" s="68"/>
      <c r="O244" s="68">
        <f t="shared" si="19"/>
        <v>2.9273157902958187</v>
      </c>
      <c r="P244" s="68">
        <f t="shared" si="20"/>
        <v>2.8836933790451864</v>
      </c>
      <c r="Q244" s="68">
        <f t="shared" si="21"/>
        <v>2.8413875156217445</v>
      </c>
      <c r="R244" s="68">
        <f t="shared" si="22"/>
        <v>2.799702309752608</v>
      </c>
      <c r="S244" s="68">
        <f t="shared" si="23"/>
        <v>2.7586286559434416</v>
      </c>
      <c r="T244" s="68">
        <f t="shared" si="24"/>
        <v>2.716882556302465</v>
      </c>
      <c r="U244" s="68">
        <f t="shared" si="25"/>
        <v>93.25205612948199</v>
      </c>
    </row>
    <row r="245" spans="11:21" ht="15">
      <c r="K245">
        <f t="shared" si="26"/>
        <v>119</v>
      </c>
      <c r="L245" s="120">
        <f t="shared" si="27"/>
        <v>40597</v>
      </c>
      <c r="M245" s="118">
        <f t="shared" si="28"/>
        <v>110.19259082049355</v>
      </c>
      <c r="N245" s="68"/>
      <c r="O245" s="68">
        <f t="shared" si="19"/>
        <v>2.9276591753095866</v>
      </c>
      <c r="P245" s="68">
        <f t="shared" si="20"/>
        <v>2.884031646988108</v>
      </c>
      <c r="Q245" s="68">
        <f t="shared" si="21"/>
        <v>2.8417208209297695</v>
      </c>
      <c r="R245" s="68">
        <f t="shared" si="22"/>
        <v>2.800030725231173</v>
      </c>
      <c r="S245" s="68">
        <f t="shared" si="23"/>
        <v>2.758952253329874</v>
      </c>
      <c r="T245" s="68">
        <f t="shared" si="24"/>
        <v>2.7172012567163706</v>
      </c>
      <c r="U245" s="68">
        <f t="shared" si="25"/>
        <v>93.26299494198867</v>
      </c>
    </row>
    <row r="246" spans="11:21" ht="15">
      <c r="K246">
        <f t="shared" si="26"/>
        <v>120</v>
      </c>
      <c r="L246" s="120">
        <f t="shared" si="27"/>
        <v>40598</v>
      </c>
      <c r="M246" s="118">
        <f t="shared" si="28"/>
        <v>110.20551682063385</v>
      </c>
      <c r="N246" s="68"/>
      <c r="O246" s="68">
        <f t="shared" si="19"/>
        <v>2.928002600603692</v>
      </c>
      <c r="P246" s="68">
        <f t="shared" si="20"/>
        <v>2.8843699546111163</v>
      </c>
      <c r="Q246" s="68">
        <f t="shared" si="21"/>
        <v>2.842054165335746</v>
      </c>
      <c r="R246" s="68">
        <f t="shared" si="22"/>
        <v>2.800359179234093</v>
      </c>
      <c r="S246" s="68">
        <f t="shared" si="23"/>
        <v>2.759275888675481</v>
      </c>
      <c r="T246" s="68">
        <f t="shared" si="24"/>
        <v>2.7175199945150195</v>
      </c>
      <c r="U246" s="68">
        <f t="shared" si="25"/>
        <v>93.2739350376587</v>
      </c>
    </row>
    <row r="247" spans="11:21" ht="15">
      <c r="K247">
        <f t="shared" si="26"/>
        <v>121</v>
      </c>
      <c r="L247" s="120">
        <f t="shared" si="27"/>
        <v>40599</v>
      </c>
      <c r="M247" s="118">
        <f t="shared" si="28"/>
        <v>110.21844433704194</v>
      </c>
      <c r="N247" s="68"/>
      <c r="O247" s="68">
        <f t="shared" si="19"/>
        <v>2.9283460661828595</v>
      </c>
      <c r="P247" s="68">
        <f t="shared" si="20"/>
        <v>2.8847083019188644</v>
      </c>
      <c r="Q247" s="68">
        <f t="shared" si="21"/>
        <v>2.8423875488442585</v>
      </c>
      <c r="R247" s="68">
        <f t="shared" si="22"/>
        <v>2.8006876717658873</v>
      </c>
      <c r="S247" s="68">
        <f t="shared" si="23"/>
        <v>2.759599561984717</v>
      </c>
      <c r="T247" s="68">
        <f t="shared" si="24"/>
        <v>2.7178387697027953</v>
      </c>
      <c r="U247" s="68">
        <f t="shared" si="25"/>
        <v>93.28487641664256</v>
      </c>
    </row>
    <row r="248" spans="11:21" ht="15">
      <c r="K248">
        <f t="shared" si="26"/>
        <v>122</v>
      </c>
      <c r="L248" s="120">
        <f t="shared" si="27"/>
        <v>40600</v>
      </c>
      <c r="M248" s="118">
        <f t="shared" si="28"/>
        <v>110.23137336989573</v>
      </c>
      <c r="N248" s="68"/>
      <c r="O248" s="68">
        <f t="shared" si="19"/>
        <v>2.928689572051816</v>
      </c>
      <c r="P248" s="68">
        <f t="shared" si="20"/>
        <v>2.885046688916009</v>
      </c>
      <c r="Q248" s="68">
        <f t="shared" si="21"/>
        <v>2.8427209714598947</v>
      </c>
      <c r="R248" s="68">
        <f t="shared" si="22"/>
        <v>2.8010162028310766</v>
      </c>
      <c r="S248" s="68">
        <f t="shared" si="23"/>
        <v>2.7599232732620336</v>
      </c>
      <c r="T248" s="68">
        <f t="shared" si="24"/>
        <v>2.718157582284085</v>
      </c>
      <c r="U248" s="68">
        <f t="shared" si="25"/>
        <v>93.29581907909082</v>
      </c>
    </row>
    <row r="249" spans="11:21" ht="15">
      <c r="K249">
        <f t="shared" si="26"/>
        <v>123</v>
      </c>
      <c r="L249" s="120">
        <f t="shared" si="27"/>
        <v>40601</v>
      </c>
      <c r="M249" s="118">
        <f t="shared" si="28"/>
        <v>110.24430391937311</v>
      </c>
      <c r="N249" s="68"/>
      <c r="O249" s="68">
        <f t="shared" si="19"/>
        <v>2.9290331182152856</v>
      </c>
      <c r="P249" s="68">
        <f t="shared" si="20"/>
        <v>2.885385115607204</v>
      </c>
      <c r="Q249" s="68">
        <f t="shared" si="21"/>
        <v>2.843054433187242</v>
      </c>
      <c r="R249" s="68">
        <f t="shared" si="22"/>
        <v>2.801344772434179</v>
      </c>
      <c r="S249" s="68">
        <f t="shared" si="23"/>
        <v>2.7602470225118854</v>
      </c>
      <c r="T249" s="68">
        <f t="shared" si="24"/>
        <v>2.7184764322632744</v>
      </c>
      <c r="U249" s="68">
        <f t="shared" si="25"/>
        <v>93.30676302515404</v>
      </c>
    </row>
    <row r="250" spans="11:21" ht="15">
      <c r="K250">
        <f t="shared" si="26"/>
        <v>124</v>
      </c>
      <c r="L250" s="120">
        <f t="shared" si="27"/>
        <v>40602</v>
      </c>
      <c r="M250" s="118">
        <f t="shared" si="28"/>
        <v>110.25723598565195</v>
      </c>
      <c r="N250" s="68"/>
      <c r="O250" s="68">
        <f t="shared" si="19"/>
        <v>2.9293767046779964</v>
      </c>
      <c r="P250" s="68">
        <f t="shared" si="20"/>
        <v>2.8857235819971083</v>
      </c>
      <c r="Q250" s="68">
        <f t="shared" si="21"/>
        <v>2.843387934030889</v>
      </c>
      <c r="R250" s="68">
        <f t="shared" si="22"/>
        <v>2.8016733805797167</v>
      </c>
      <c r="S250" s="68">
        <f t="shared" si="23"/>
        <v>2.7605708097387267</v>
      </c>
      <c r="T250" s="68">
        <f t="shared" si="24"/>
        <v>2.7187953196447503</v>
      </c>
      <c r="U250" s="68">
        <f t="shared" si="25"/>
        <v>93.31770825498276</v>
      </c>
    </row>
    <row r="251" spans="11:21" ht="15">
      <c r="K251">
        <f t="shared" si="26"/>
        <v>125</v>
      </c>
      <c r="L251" s="120">
        <f t="shared" si="27"/>
        <v>40603</v>
      </c>
      <c r="M251" s="118">
        <f t="shared" si="28"/>
        <v>110.27016956891018</v>
      </c>
      <c r="N251" s="68"/>
      <c r="O251" s="68">
        <f t="shared" si="19"/>
        <v>2.9297203314446754</v>
      </c>
      <c r="P251" s="68">
        <f t="shared" si="20"/>
        <v>2.886062088090376</v>
      </c>
      <c r="Q251" s="68">
        <f t="shared" si="21"/>
        <v>2.843721473995423</v>
      </c>
      <c r="R251" s="68">
        <f t="shared" si="22"/>
        <v>2.8020020272722097</v>
      </c>
      <c r="S251" s="68">
        <f t="shared" si="23"/>
        <v>2.7608946349470123</v>
      </c>
      <c r="T251" s="68">
        <f t="shared" si="24"/>
        <v>2.7191142444329004</v>
      </c>
      <c r="U251" s="68">
        <f t="shared" si="25"/>
        <v>93.32865476872759</v>
      </c>
    </row>
    <row r="252" spans="11:21" ht="15">
      <c r="K252">
        <f t="shared" si="26"/>
        <v>126</v>
      </c>
      <c r="L252" s="120">
        <f t="shared" si="27"/>
        <v>40604</v>
      </c>
      <c r="M252" s="118">
        <f t="shared" si="28"/>
        <v>110.28310466932577</v>
      </c>
      <c r="N252" s="68"/>
      <c r="O252" s="68">
        <f t="shared" si="19"/>
        <v>2.9300639985200503</v>
      </c>
      <c r="P252" s="68">
        <f t="shared" si="20"/>
        <v>2.886400633891666</v>
      </c>
      <c r="Q252" s="68">
        <f t="shared" si="21"/>
        <v>2.8440550530854334</v>
      </c>
      <c r="R252" s="68">
        <f t="shared" si="22"/>
        <v>2.8023307125161803</v>
      </c>
      <c r="S252" s="68">
        <f t="shared" si="23"/>
        <v>2.7612184981411976</v>
      </c>
      <c r="T252" s="68">
        <f t="shared" si="24"/>
        <v>2.7194332066321127</v>
      </c>
      <c r="U252" s="68">
        <f t="shared" si="25"/>
        <v>93.33960256653913</v>
      </c>
    </row>
    <row r="253" spans="11:21" ht="15">
      <c r="K253">
        <f t="shared" si="26"/>
        <v>127</v>
      </c>
      <c r="L253" s="120">
        <f t="shared" si="27"/>
        <v>40605</v>
      </c>
      <c r="M253" s="118">
        <f t="shared" si="28"/>
        <v>110.29604128707669</v>
      </c>
      <c r="N253" s="68"/>
      <c r="O253" s="68">
        <f t="shared" si="19"/>
        <v>2.93040770590885</v>
      </c>
      <c r="P253" s="68">
        <f t="shared" si="20"/>
        <v>2.886739219405636</v>
      </c>
      <c r="Q253" s="68">
        <f t="shared" si="21"/>
        <v>2.84438867130551</v>
      </c>
      <c r="R253" s="68">
        <f t="shared" si="22"/>
        <v>2.802659436316151</v>
      </c>
      <c r="S253" s="68">
        <f t="shared" si="23"/>
        <v>2.7615423993257378</v>
      </c>
      <c r="T253" s="68">
        <f t="shared" si="24"/>
        <v>2.7197522062467754</v>
      </c>
      <c r="U253" s="68">
        <f t="shared" si="25"/>
        <v>93.35055164856803</v>
      </c>
    </row>
    <row r="254" spans="11:21" ht="15">
      <c r="K254">
        <f t="shared" si="26"/>
        <v>128</v>
      </c>
      <c r="L254" s="120">
        <f t="shared" si="27"/>
        <v>40606</v>
      </c>
      <c r="M254" s="118">
        <f t="shared" si="28"/>
        <v>110.30897942234091</v>
      </c>
      <c r="N254" s="68"/>
      <c r="O254" s="68">
        <f aca="true" t="shared" si="29" ref="O254:O317">$K$48/(1+$L$123/100)^(($J$48-K254)/252)</f>
        <v>2.9307514536158017</v>
      </c>
      <c r="P254" s="68">
        <f aca="true" t="shared" si="30" ref="P254:P317">$K$49/(1+$L$123/100)^(($J$49-K254)/252)</f>
        <v>2.8870778446369436</v>
      </c>
      <c r="Q254" s="68">
        <f aca="true" t="shared" si="31" ref="Q254:Q317">$K$50/(1+$L$123/100)^(($J$50-K254)/252)</f>
        <v>2.844722328660243</v>
      </c>
      <c r="R254" s="68">
        <f aca="true" t="shared" si="32" ref="R254:R317">$K$51/(1+$L$123/100)^(($J$51-K254)/252)</f>
        <v>2.802988198676644</v>
      </c>
      <c r="S254" s="68">
        <f aca="true" t="shared" si="33" ref="S254:S317">$K$52/(1+$L$123/100)^(($J$52-K254)/252)</f>
        <v>2.76186633850509</v>
      </c>
      <c r="T254" s="68">
        <f aca="true" t="shared" si="34" ref="T254:T317">$K$53/(1+$L$123/100)^(($J$53-K254)/252)</f>
        <v>2.720071243281278</v>
      </c>
      <c r="U254" s="68">
        <f aca="true" t="shared" si="35" ref="U254:U317">$K$54/(1+$L$123/100)^(($J$54-K254)/252)</f>
        <v>93.36150201496491</v>
      </c>
    </row>
    <row r="255" spans="11:21" ht="15">
      <c r="K255">
        <f t="shared" si="26"/>
        <v>129</v>
      </c>
      <c r="L255" s="120">
        <f t="shared" si="27"/>
        <v>40607</v>
      </c>
      <c r="M255" s="118">
        <f t="shared" si="28"/>
        <v>110.32191907529644</v>
      </c>
      <c r="N255" s="68"/>
      <c r="O255" s="68">
        <f t="shared" si="29"/>
        <v>2.931095241645637</v>
      </c>
      <c r="P255" s="68">
        <f t="shared" si="30"/>
        <v>2.8874165095902486</v>
      </c>
      <c r="Q255" s="68">
        <f t="shared" si="31"/>
        <v>2.8450560251542227</v>
      </c>
      <c r="R255" s="68">
        <f t="shared" si="32"/>
        <v>2.803316999602183</v>
      </c>
      <c r="S255" s="68">
        <f t="shared" si="33"/>
        <v>2.762190315683711</v>
      </c>
      <c r="T255" s="68">
        <f t="shared" si="34"/>
        <v>2.7203903177400095</v>
      </c>
      <c r="U255" s="68">
        <f t="shared" si="35"/>
        <v>93.37245366588043</v>
      </c>
    </row>
    <row r="256" spans="11:21" ht="15">
      <c r="K256">
        <f aca="true" t="shared" si="36" ref="K256:K294">K255+1</f>
        <v>130</v>
      </c>
      <c r="L256" s="120">
        <f aca="true" t="shared" si="37" ref="L256:L319">L255+1</f>
        <v>40608</v>
      </c>
      <c r="M256" s="118">
        <f aca="true" t="shared" si="38" ref="M256:M294">SUM(N256:U256)</f>
        <v>110.33486024612134</v>
      </c>
      <c r="N256" s="68"/>
      <c r="O256" s="68">
        <f t="shared" si="29"/>
        <v>2.9314390700030843</v>
      </c>
      <c r="P256" s="68">
        <f t="shared" si="30"/>
        <v>2.8877552142702108</v>
      </c>
      <c r="Q256" s="68">
        <f t="shared" si="31"/>
        <v>2.84538976079204</v>
      </c>
      <c r="R256" s="68">
        <f t="shared" si="32"/>
        <v>2.803645839097292</v>
      </c>
      <c r="S256" s="68">
        <f t="shared" si="33"/>
        <v>2.762514330866059</v>
      </c>
      <c r="T256" s="68">
        <f t="shared" si="34"/>
        <v>2.7207094296273597</v>
      </c>
      <c r="U256" s="68">
        <f t="shared" si="35"/>
        <v>93.38340660146528</v>
      </c>
    </row>
    <row r="257" spans="11:21" ht="15">
      <c r="K257">
        <f t="shared" si="36"/>
        <v>131</v>
      </c>
      <c r="L257" s="120">
        <f t="shared" si="37"/>
        <v>40609</v>
      </c>
      <c r="M257" s="118">
        <f t="shared" si="38"/>
        <v>110.34780293499361</v>
      </c>
      <c r="N257" s="68"/>
      <c r="O257" s="68">
        <f t="shared" si="29"/>
        <v>2.9317829386928755</v>
      </c>
      <c r="P257" s="68">
        <f t="shared" si="30"/>
        <v>2.8880939586814893</v>
      </c>
      <c r="Q257" s="68">
        <f t="shared" si="31"/>
        <v>2.845723535578288</v>
      </c>
      <c r="R257" s="68">
        <f t="shared" si="32"/>
        <v>2.803974717166495</v>
      </c>
      <c r="S257" s="68">
        <f t="shared" si="33"/>
        <v>2.7628383840565904</v>
      </c>
      <c r="T257" s="68">
        <f t="shared" si="34"/>
        <v>2.7210285789477195</v>
      </c>
      <c r="U257" s="68">
        <f t="shared" si="35"/>
        <v>93.39436082187015</v>
      </c>
    </row>
    <row r="258" spans="11:21" ht="15">
      <c r="K258">
        <f t="shared" si="36"/>
        <v>132</v>
      </c>
      <c r="L258" s="120">
        <f t="shared" si="37"/>
        <v>40610</v>
      </c>
      <c r="M258" s="118">
        <f t="shared" si="38"/>
        <v>110.36074714209136</v>
      </c>
      <c r="N258" s="68"/>
      <c r="O258" s="68">
        <f t="shared" si="29"/>
        <v>2.932126847719741</v>
      </c>
      <c r="P258" s="68">
        <f t="shared" si="30"/>
        <v>2.888432742828746</v>
      </c>
      <c r="Q258" s="68">
        <f t="shared" si="31"/>
        <v>2.8460573495175576</v>
      </c>
      <c r="R258" s="68">
        <f t="shared" si="32"/>
        <v>2.8043036338143166</v>
      </c>
      <c r="S258" s="68">
        <f t="shared" si="33"/>
        <v>2.7631624752597643</v>
      </c>
      <c r="T258" s="68">
        <f t="shared" si="34"/>
        <v>2.7213477657054796</v>
      </c>
      <c r="U258" s="68">
        <f t="shared" si="35"/>
        <v>93.40531632724576</v>
      </c>
    </row>
    <row r="259" spans="11:21" ht="15">
      <c r="K259">
        <f t="shared" si="36"/>
        <v>133</v>
      </c>
      <c r="L259" s="120">
        <f t="shared" si="37"/>
        <v>40611</v>
      </c>
      <c r="M259" s="118">
        <f t="shared" si="38"/>
        <v>110.37369286759267</v>
      </c>
      <c r="N259" s="68"/>
      <c r="O259" s="68">
        <f t="shared" si="29"/>
        <v>2.9324707970884116</v>
      </c>
      <c r="P259" s="68">
        <f t="shared" si="30"/>
        <v>2.8887715667166405</v>
      </c>
      <c r="Q259" s="68">
        <f t="shared" si="31"/>
        <v>2.846391202614442</v>
      </c>
      <c r="R259" s="68">
        <f t="shared" si="32"/>
        <v>2.804632589045282</v>
      </c>
      <c r="S259" s="68">
        <f t="shared" si="33"/>
        <v>2.7634866044800406</v>
      </c>
      <c r="T259" s="68">
        <f t="shared" si="34"/>
        <v>2.721666989905032</v>
      </c>
      <c r="U259" s="68">
        <f t="shared" si="35"/>
        <v>93.41627311774282</v>
      </c>
    </row>
    <row r="260" spans="11:21" ht="15">
      <c r="K260">
        <f t="shared" si="36"/>
        <v>134</v>
      </c>
      <c r="L260" s="120">
        <f t="shared" si="37"/>
        <v>40612</v>
      </c>
      <c r="M260" s="118">
        <f t="shared" si="38"/>
        <v>110.38664011167566</v>
      </c>
      <c r="N260" s="68"/>
      <c r="O260" s="68">
        <f t="shared" si="29"/>
        <v>2.932814786803622</v>
      </c>
      <c r="P260" s="68">
        <f t="shared" si="30"/>
        <v>2.8891104303498363</v>
      </c>
      <c r="Q260" s="68">
        <f t="shared" si="31"/>
        <v>2.8467250948735345</v>
      </c>
      <c r="R260" s="68">
        <f t="shared" si="32"/>
        <v>2.8049615828639185</v>
      </c>
      <c r="S260" s="68">
        <f t="shared" si="33"/>
        <v>2.763810771721878</v>
      </c>
      <c r="T260" s="68">
        <f t="shared" si="34"/>
        <v>2.721986251550769</v>
      </c>
      <c r="U260" s="68">
        <f t="shared" si="35"/>
        <v>93.4272311935121</v>
      </c>
    </row>
    <row r="261" spans="11:21" ht="15">
      <c r="K261">
        <f t="shared" si="36"/>
        <v>135</v>
      </c>
      <c r="L261" s="120">
        <f t="shared" si="37"/>
        <v>40613</v>
      </c>
      <c r="M261" s="118">
        <f t="shared" si="38"/>
        <v>110.39958887451847</v>
      </c>
      <c r="N261" s="68"/>
      <c r="O261" s="68">
        <f t="shared" si="29"/>
        <v>2.9331588168701024</v>
      </c>
      <c r="P261" s="68">
        <f t="shared" si="30"/>
        <v>2.889449333732994</v>
      </c>
      <c r="Q261" s="68">
        <f t="shared" si="31"/>
        <v>2.8470590262994286</v>
      </c>
      <c r="R261" s="68">
        <f t="shared" si="32"/>
        <v>2.8052906152747514</v>
      </c>
      <c r="S261" s="68">
        <f t="shared" si="33"/>
        <v>2.7641349769897365</v>
      </c>
      <c r="T261" s="68">
        <f t="shared" si="34"/>
        <v>2.722305550647082</v>
      </c>
      <c r="U261" s="68">
        <f t="shared" si="35"/>
        <v>93.43819055470438</v>
      </c>
    </row>
    <row r="262" spans="11:21" ht="15">
      <c r="K262">
        <f t="shared" si="36"/>
        <v>136</v>
      </c>
      <c r="L262" s="120">
        <f t="shared" si="37"/>
        <v>40614</v>
      </c>
      <c r="M262" s="118">
        <f t="shared" si="38"/>
        <v>110.41253915629925</v>
      </c>
      <c r="N262" s="68"/>
      <c r="O262" s="68">
        <f t="shared" si="29"/>
        <v>2.9335028872925877</v>
      </c>
      <c r="P262" s="68">
        <f t="shared" si="30"/>
        <v>2.8897882768707777</v>
      </c>
      <c r="Q262" s="68">
        <f t="shared" si="31"/>
        <v>2.8473929968967195</v>
      </c>
      <c r="R262" s="68">
        <f t="shared" si="32"/>
        <v>2.805619686282308</v>
      </c>
      <c r="S262" s="68">
        <f t="shared" si="33"/>
        <v>2.764459220288077</v>
      </c>
      <c r="T262" s="68">
        <f t="shared" si="34"/>
        <v>2.722624887198365</v>
      </c>
      <c r="U262" s="68">
        <f t="shared" si="35"/>
        <v>93.44915120147041</v>
      </c>
    </row>
    <row r="263" spans="11:21" ht="15">
      <c r="K263">
        <f t="shared" si="36"/>
        <v>137</v>
      </c>
      <c r="L263" s="120">
        <f t="shared" si="37"/>
        <v>40615</v>
      </c>
      <c r="M263" s="118">
        <f t="shared" si="38"/>
        <v>110.42549095719619</v>
      </c>
      <c r="N263" s="68"/>
      <c r="O263" s="68">
        <f t="shared" si="29"/>
        <v>2.933846998075811</v>
      </c>
      <c r="P263" s="68">
        <f t="shared" si="30"/>
        <v>2.89012725976785</v>
      </c>
      <c r="Q263" s="68">
        <f t="shared" si="31"/>
        <v>2.8477270066700022</v>
      </c>
      <c r="R263" s="68">
        <f t="shared" si="32"/>
        <v>2.805948795891116</v>
      </c>
      <c r="S263" s="68">
        <f t="shared" si="33"/>
        <v>2.764783501621361</v>
      </c>
      <c r="T263" s="68">
        <f t="shared" si="34"/>
        <v>2.722944261209012</v>
      </c>
      <c r="U263" s="68">
        <f t="shared" si="35"/>
        <v>93.46011313396103</v>
      </c>
    </row>
    <row r="264" spans="11:21" ht="15">
      <c r="K264">
        <f t="shared" si="36"/>
        <v>138</v>
      </c>
      <c r="L264" s="120">
        <f t="shared" si="37"/>
        <v>40616</v>
      </c>
      <c r="M264" s="118">
        <f t="shared" si="38"/>
        <v>110.43844427738748</v>
      </c>
      <c r="N264" s="68"/>
      <c r="O264" s="68">
        <f t="shared" si="29"/>
        <v>2.934191149224508</v>
      </c>
      <c r="P264" s="68">
        <f t="shared" si="30"/>
        <v>2.890466282428875</v>
      </c>
      <c r="Q264" s="68">
        <f t="shared" si="31"/>
        <v>2.8480610556238717</v>
      </c>
      <c r="R264" s="68">
        <f t="shared" si="32"/>
        <v>2.806277944105704</v>
      </c>
      <c r="S264" s="68">
        <f t="shared" si="33"/>
        <v>2.7651078209940496</v>
      </c>
      <c r="T264" s="68">
        <f t="shared" si="34"/>
        <v>2.723263672683416</v>
      </c>
      <c r="U264" s="68">
        <f t="shared" si="35"/>
        <v>93.47107635232705</v>
      </c>
    </row>
    <row r="265" spans="11:21" ht="15">
      <c r="K265">
        <f t="shared" si="36"/>
        <v>139</v>
      </c>
      <c r="L265" s="120">
        <f t="shared" si="37"/>
        <v>40617</v>
      </c>
      <c r="M265" s="118">
        <f t="shared" si="38"/>
        <v>110.45139911705131</v>
      </c>
      <c r="N265" s="68"/>
      <c r="O265" s="68">
        <f t="shared" si="29"/>
        <v>2.934535340743412</v>
      </c>
      <c r="P265" s="68">
        <f t="shared" si="30"/>
        <v>2.890805344858517</v>
      </c>
      <c r="Q265" s="68">
        <f t="shared" si="31"/>
        <v>2.8483951437629234</v>
      </c>
      <c r="R265" s="68">
        <f t="shared" si="32"/>
        <v>2.806607130930599</v>
      </c>
      <c r="S265" s="68">
        <f t="shared" si="33"/>
        <v>2.7654321784106055</v>
      </c>
      <c r="T265" s="68">
        <f t="shared" si="34"/>
        <v>2.7235831216259725</v>
      </c>
      <c r="U265" s="68">
        <f t="shared" si="35"/>
        <v>93.48204085671928</v>
      </c>
    </row>
    <row r="266" spans="11:21" ht="15">
      <c r="K266">
        <f t="shared" si="36"/>
        <v>140</v>
      </c>
      <c r="L266" s="120">
        <f t="shared" si="37"/>
        <v>40618</v>
      </c>
      <c r="M266" s="118">
        <f t="shared" si="38"/>
        <v>110.46435547636595</v>
      </c>
      <c r="N266" s="68"/>
      <c r="O266" s="68">
        <f t="shared" si="29"/>
        <v>2.93487957263726</v>
      </c>
      <c r="P266" s="68">
        <f t="shared" si="30"/>
        <v>2.891144447061442</v>
      </c>
      <c r="Q266" s="68">
        <f t="shared" si="31"/>
        <v>2.848729271091755</v>
      </c>
      <c r="R266" s="68">
        <f t="shared" si="32"/>
        <v>2.806936356370332</v>
      </c>
      <c r="S266" s="68">
        <f t="shared" si="33"/>
        <v>2.76575657387549</v>
      </c>
      <c r="T266" s="68">
        <f t="shared" si="34"/>
        <v>2.723902608041076</v>
      </c>
      <c r="U266" s="68">
        <f t="shared" si="35"/>
        <v>93.4930066472886</v>
      </c>
    </row>
    <row r="267" spans="11:21" ht="15">
      <c r="K267">
        <f t="shared" si="36"/>
        <v>141</v>
      </c>
      <c r="L267" s="120">
        <f t="shared" si="37"/>
        <v>40619</v>
      </c>
      <c r="M267" s="118">
        <f t="shared" si="38"/>
        <v>110.47731335550966</v>
      </c>
      <c r="N267" s="68"/>
      <c r="O267" s="68">
        <f t="shared" si="29"/>
        <v>2.935223844910787</v>
      </c>
      <c r="P267" s="68">
        <f t="shared" si="30"/>
        <v>2.891483589042314</v>
      </c>
      <c r="Q267" s="68">
        <f t="shared" si="31"/>
        <v>2.8490634376149626</v>
      </c>
      <c r="R267" s="68">
        <f t="shared" si="32"/>
        <v>2.807265620429431</v>
      </c>
      <c r="S267" s="68">
        <f t="shared" si="33"/>
        <v>2.766081007393168</v>
      </c>
      <c r="T267" s="68">
        <f t="shared" si="34"/>
        <v>2.724222131933123</v>
      </c>
      <c r="U267" s="68">
        <f t="shared" si="35"/>
        <v>93.50397372418588</v>
      </c>
    </row>
    <row r="268" spans="11:21" ht="15">
      <c r="K268">
        <f t="shared" si="36"/>
        <v>142</v>
      </c>
      <c r="L268" s="120">
        <f t="shared" si="37"/>
        <v>40620</v>
      </c>
      <c r="M268" s="118">
        <f t="shared" si="38"/>
        <v>110.49027275466072</v>
      </c>
      <c r="N268" s="68"/>
      <c r="O268" s="68">
        <f t="shared" si="29"/>
        <v>2.9355681575687305</v>
      </c>
      <c r="P268" s="68">
        <f t="shared" si="30"/>
        <v>2.8918227708058004</v>
      </c>
      <c r="Q268" s="68">
        <f t="shared" si="31"/>
        <v>2.849397643337145</v>
      </c>
      <c r="R268" s="68">
        <f t="shared" si="32"/>
        <v>2.8075949231124273</v>
      </c>
      <c r="S268" s="68">
        <f t="shared" si="33"/>
        <v>2.766405478968102</v>
      </c>
      <c r="T268" s="68">
        <f t="shared" si="34"/>
        <v>2.724541693306508</v>
      </c>
      <c r="U268" s="68">
        <f t="shared" si="35"/>
        <v>93.514942087562</v>
      </c>
    </row>
    <row r="269" spans="11:21" ht="15">
      <c r="K269">
        <f t="shared" si="36"/>
        <v>143</v>
      </c>
      <c r="L269" s="120">
        <f t="shared" si="37"/>
        <v>40621</v>
      </c>
      <c r="M269" s="118">
        <f t="shared" si="38"/>
        <v>110.50323367399743</v>
      </c>
      <c r="N269" s="68"/>
      <c r="O269" s="68">
        <f t="shared" si="29"/>
        <v>2.935912510615828</v>
      </c>
      <c r="P269" s="68">
        <f t="shared" si="30"/>
        <v>2.892161992356567</v>
      </c>
      <c r="Q269" s="68">
        <f t="shared" si="31"/>
        <v>2.8497318882629</v>
      </c>
      <c r="R269" s="68">
        <f t="shared" si="32"/>
        <v>2.807924264423851</v>
      </c>
      <c r="S269" s="68">
        <f t="shared" si="33"/>
        <v>2.766729988604757</v>
      </c>
      <c r="T269" s="68">
        <f t="shared" si="34"/>
        <v>2.7248612921656306</v>
      </c>
      <c r="U269" s="68">
        <f t="shared" si="35"/>
        <v>93.5259117375679</v>
      </c>
    </row>
    <row r="270" spans="11:21" ht="15">
      <c r="K270">
        <f t="shared" si="36"/>
        <v>144</v>
      </c>
      <c r="L270" s="120">
        <f t="shared" si="37"/>
        <v>40622</v>
      </c>
      <c r="M270" s="118">
        <f t="shared" si="38"/>
        <v>110.51619611369811</v>
      </c>
      <c r="N270" s="68"/>
      <c r="O270" s="68">
        <f t="shared" si="29"/>
        <v>2.936256904056816</v>
      </c>
      <c r="P270" s="68">
        <f t="shared" si="30"/>
        <v>2.892501253699281</v>
      </c>
      <c r="Q270" s="68">
        <f t="shared" si="31"/>
        <v>2.8500661723968257</v>
      </c>
      <c r="R270" s="68">
        <f t="shared" si="32"/>
        <v>2.808253644368234</v>
      </c>
      <c r="S270" s="68">
        <f t="shared" si="33"/>
        <v>2.767054536307598</v>
      </c>
      <c r="T270" s="68">
        <f t="shared" si="34"/>
        <v>2.725180928514885</v>
      </c>
      <c r="U270" s="68">
        <f t="shared" si="35"/>
        <v>93.53688267435447</v>
      </c>
    </row>
    <row r="271" spans="11:21" ht="15">
      <c r="K271">
        <f t="shared" si="36"/>
        <v>145</v>
      </c>
      <c r="L271" s="120">
        <f t="shared" si="37"/>
        <v>40623</v>
      </c>
      <c r="M271" s="118">
        <f t="shared" si="38"/>
        <v>110.52916007394109</v>
      </c>
      <c r="N271" s="68"/>
      <c r="O271" s="68">
        <f t="shared" si="29"/>
        <v>2.936601337896434</v>
      </c>
      <c r="P271" s="68">
        <f t="shared" si="30"/>
        <v>2.892840554838611</v>
      </c>
      <c r="Q271" s="68">
        <f t="shared" si="31"/>
        <v>2.850400495743522</v>
      </c>
      <c r="R271" s="68">
        <f t="shared" si="32"/>
        <v>2.808583062950108</v>
      </c>
      <c r="S271" s="68">
        <f t="shared" si="33"/>
        <v>2.7673791220810893</v>
      </c>
      <c r="T271" s="68">
        <f t="shared" si="34"/>
        <v>2.725500602358671</v>
      </c>
      <c r="U271" s="68">
        <f t="shared" si="35"/>
        <v>93.54785489807266</v>
      </c>
    </row>
    <row r="272" spans="11:21" ht="15">
      <c r="K272">
        <f t="shared" si="36"/>
        <v>146</v>
      </c>
      <c r="L272" s="120">
        <f t="shared" si="37"/>
        <v>40624</v>
      </c>
      <c r="M272" s="118">
        <f t="shared" si="38"/>
        <v>110.54212555490479</v>
      </c>
      <c r="N272" s="68"/>
      <c r="O272" s="68">
        <f t="shared" si="29"/>
        <v>2.9369458121394207</v>
      </c>
      <c r="P272" s="68">
        <f t="shared" si="30"/>
        <v>2.8931798957792245</v>
      </c>
      <c r="Q272" s="68">
        <f t="shared" si="31"/>
        <v>2.850734858307588</v>
      </c>
      <c r="R272" s="68">
        <f t="shared" si="32"/>
        <v>2.808912520174004</v>
      </c>
      <c r="S272" s="68">
        <f t="shared" si="33"/>
        <v>2.7677037459296976</v>
      </c>
      <c r="T272" s="68">
        <f t="shared" si="34"/>
        <v>2.725820313701386</v>
      </c>
      <c r="U272" s="68">
        <f t="shared" si="35"/>
        <v>93.55882840887347</v>
      </c>
    </row>
    <row r="273" spans="11:21" ht="15">
      <c r="K273">
        <f t="shared" si="36"/>
        <v>147</v>
      </c>
      <c r="L273" s="120">
        <f t="shared" si="37"/>
        <v>40625</v>
      </c>
      <c r="M273" s="118">
        <f t="shared" si="38"/>
        <v>110.55509255676753</v>
      </c>
      <c r="N273" s="68"/>
      <c r="O273" s="68">
        <f t="shared" si="29"/>
        <v>2.9372903267905155</v>
      </c>
      <c r="P273" s="68">
        <f t="shared" si="30"/>
        <v>2.8935192765257907</v>
      </c>
      <c r="Q273" s="68">
        <f t="shared" si="31"/>
        <v>2.851069260093625</v>
      </c>
      <c r="R273" s="68">
        <f t="shared" si="32"/>
        <v>2.809242016044457</v>
      </c>
      <c r="S273" s="68">
        <f t="shared" si="33"/>
        <v>2.7680284078578885</v>
      </c>
      <c r="T273" s="68">
        <f t="shared" si="34"/>
        <v>2.726140062547428</v>
      </c>
      <c r="U273" s="68">
        <f t="shared" si="35"/>
        <v>93.56980320690784</v>
      </c>
    </row>
    <row r="274" spans="11:21" ht="15">
      <c r="K274">
        <f t="shared" si="36"/>
        <v>148</v>
      </c>
      <c r="L274" s="120">
        <f t="shared" si="37"/>
        <v>40626</v>
      </c>
      <c r="M274" s="118">
        <f t="shared" si="38"/>
        <v>110.56806107970776</v>
      </c>
      <c r="N274" s="68"/>
      <c r="O274" s="68">
        <f t="shared" si="29"/>
        <v>2.9376348818544575</v>
      </c>
      <c r="P274" s="68">
        <f t="shared" si="30"/>
        <v>2.893858697082979</v>
      </c>
      <c r="Q274" s="68">
        <f t="shared" si="31"/>
        <v>2.8514037011062334</v>
      </c>
      <c r="R274" s="68">
        <f t="shared" si="32"/>
        <v>2.8095715505659986</v>
      </c>
      <c r="S274" s="68">
        <f t="shared" si="33"/>
        <v>2.7683531078701296</v>
      </c>
      <c r="T274" s="68">
        <f t="shared" si="34"/>
        <v>2.7264598489011984</v>
      </c>
      <c r="U274" s="68">
        <f t="shared" si="35"/>
        <v>93.58077929232677</v>
      </c>
    </row>
    <row r="275" spans="11:21" ht="15">
      <c r="K275">
        <f t="shared" si="36"/>
        <v>149</v>
      </c>
      <c r="L275" s="120">
        <f t="shared" si="37"/>
        <v>40627</v>
      </c>
      <c r="M275" s="118">
        <f t="shared" si="38"/>
        <v>110.58103112390387</v>
      </c>
      <c r="N275" s="68"/>
      <c r="O275" s="68">
        <f t="shared" si="29"/>
        <v>2.937979477335989</v>
      </c>
      <c r="P275" s="68">
        <f t="shared" si="30"/>
        <v>2.8941981574554587</v>
      </c>
      <c r="Q275" s="68">
        <f t="shared" si="31"/>
        <v>2.851738181350015</v>
      </c>
      <c r="R275" s="68">
        <f t="shared" si="32"/>
        <v>2.809901123743164</v>
      </c>
      <c r="S275" s="68">
        <f t="shared" si="33"/>
        <v>2.768677845970888</v>
      </c>
      <c r="T275" s="68">
        <f t="shared" si="34"/>
        <v>2.726779672767095</v>
      </c>
      <c r="U275" s="68">
        <f t="shared" si="35"/>
        <v>93.59175666528127</v>
      </c>
    </row>
    <row r="276" spans="11:21" ht="15">
      <c r="K276">
        <f t="shared" si="36"/>
        <v>150</v>
      </c>
      <c r="L276" s="120">
        <f t="shared" si="37"/>
        <v>40628</v>
      </c>
      <c r="M276" s="118">
        <f t="shared" si="38"/>
        <v>110.59400268953436</v>
      </c>
      <c r="N276" s="68"/>
      <c r="O276" s="68">
        <f t="shared" si="29"/>
        <v>2.93832411323985</v>
      </c>
      <c r="P276" s="68">
        <f t="shared" si="30"/>
        <v>2.8945376576479016</v>
      </c>
      <c r="Q276" s="68">
        <f t="shared" si="31"/>
        <v>2.8520727008295705</v>
      </c>
      <c r="R276" s="68">
        <f t="shared" si="32"/>
        <v>2.810230735580487</v>
      </c>
      <c r="S276" s="68">
        <f t="shared" si="33"/>
        <v>2.7690026221646318</v>
      </c>
      <c r="T276" s="68">
        <f t="shared" si="34"/>
        <v>2.727099534149519</v>
      </c>
      <c r="U276" s="68">
        <f t="shared" si="35"/>
        <v>93.60273532592241</v>
      </c>
    </row>
    <row r="277" spans="11:21" ht="15">
      <c r="K277">
        <f t="shared" si="36"/>
        <v>151</v>
      </c>
      <c r="L277" s="120">
        <f t="shared" si="37"/>
        <v>40629</v>
      </c>
      <c r="M277" s="118">
        <f t="shared" si="38"/>
        <v>110.60697577677769</v>
      </c>
      <c r="N277" s="68"/>
      <c r="O277" s="68">
        <f t="shared" si="29"/>
        <v>2.9386687895707824</v>
      </c>
      <c r="P277" s="68">
        <f t="shared" si="30"/>
        <v>2.8948771976649774</v>
      </c>
      <c r="Q277" s="68">
        <f t="shared" si="31"/>
        <v>2.8524072595495036</v>
      </c>
      <c r="R277" s="68">
        <f t="shared" si="32"/>
        <v>2.8105603860825026</v>
      </c>
      <c r="S277" s="68">
        <f t="shared" si="33"/>
        <v>2.769327436455829</v>
      </c>
      <c r="T277" s="68">
        <f t="shared" si="34"/>
        <v>2.7274194330528707</v>
      </c>
      <c r="U277" s="68">
        <f t="shared" si="35"/>
        <v>93.61371527440122</v>
      </c>
    </row>
    <row r="278" spans="11:21" ht="15">
      <c r="K278">
        <f t="shared" si="36"/>
        <v>152</v>
      </c>
      <c r="L278" s="120">
        <f t="shared" si="37"/>
        <v>40630</v>
      </c>
      <c r="M278" s="118">
        <f t="shared" si="38"/>
        <v>110.6199503858123</v>
      </c>
      <c r="N278" s="68"/>
      <c r="O278" s="68">
        <f t="shared" si="29"/>
        <v>2.9390135063335285</v>
      </c>
      <c r="P278" s="68">
        <f t="shared" si="30"/>
        <v>2.8952167775113584</v>
      </c>
      <c r="Q278" s="68">
        <f t="shared" si="31"/>
        <v>2.8527418575144177</v>
      </c>
      <c r="R278" s="68">
        <f t="shared" si="32"/>
        <v>2.810890075253746</v>
      </c>
      <c r="S278" s="68">
        <f t="shared" si="33"/>
        <v>2.7696522888489494</v>
      </c>
      <c r="T278" s="68">
        <f t="shared" si="34"/>
        <v>2.7277393694815526</v>
      </c>
      <c r="U278" s="68">
        <f t="shared" si="35"/>
        <v>93.62469651086874</v>
      </c>
    </row>
    <row r="279" spans="11:21" ht="15">
      <c r="K279">
        <f t="shared" si="36"/>
        <v>153</v>
      </c>
      <c r="L279" s="120">
        <f t="shared" si="37"/>
        <v>40631</v>
      </c>
      <c r="M279" s="118">
        <f t="shared" si="38"/>
        <v>110.63292651681675</v>
      </c>
      <c r="N279" s="68"/>
      <c r="O279" s="68">
        <f t="shared" si="29"/>
        <v>2.9393582635328315</v>
      </c>
      <c r="P279" s="68">
        <f t="shared" si="30"/>
        <v>2.8955563971917164</v>
      </c>
      <c r="Q279" s="68">
        <f t="shared" si="31"/>
        <v>2.853076494728915</v>
      </c>
      <c r="R279" s="68">
        <f t="shared" si="32"/>
        <v>2.811219803098754</v>
      </c>
      <c r="S279" s="68">
        <f t="shared" si="33"/>
        <v>2.769977179348461</v>
      </c>
      <c r="T279" s="68">
        <f t="shared" si="34"/>
        <v>2.728059343439965</v>
      </c>
      <c r="U279" s="68">
        <f t="shared" si="35"/>
        <v>93.6356790354761</v>
      </c>
    </row>
    <row r="280" spans="11:21" ht="15">
      <c r="K280">
        <f t="shared" si="36"/>
        <v>154</v>
      </c>
      <c r="L280" s="120">
        <f t="shared" si="37"/>
        <v>40632</v>
      </c>
      <c r="M280" s="118">
        <f t="shared" si="38"/>
        <v>110.64590416996953</v>
      </c>
      <c r="N280" s="68"/>
      <c r="O280" s="68">
        <f t="shared" si="29"/>
        <v>2.9397030611734345</v>
      </c>
      <c r="P280" s="68">
        <f t="shared" si="30"/>
        <v>2.8958960567107237</v>
      </c>
      <c r="Q280" s="68">
        <f t="shared" si="31"/>
        <v>2.8534111711976005</v>
      </c>
      <c r="R280" s="68">
        <f t="shared" si="32"/>
        <v>2.8115495696220623</v>
      </c>
      <c r="S280" s="68">
        <f t="shared" si="33"/>
        <v>2.7703021079588357</v>
      </c>
      <c r="T280" s="68">
        <f t="shared" si="34"/>
        <v>2.7283793549325117</v>
      </c>
      <c r="U280" s="68">
        <f t="shared" si="35"/>
        <v>93.64666284837436</v>
      </c>
    </row>
    <row r="281" spans="11:21" ht="15">
      <c r="K281">
        <f t="shared" si="36"/>
        <v>155</v>
      </c>
      <c r="L281" s="120">
        <f t="shared" si="37"/>
        <v>40633</v>
      </c>
      <c r="M281" s="118">
        <f t="shared" si="38"/>
        <v>110.65888334544923</v>
      </c>
      <c r="N281" s="68"/>
      <c r="O281" s="68">
        <f t="shared" si="29"/>
        <v>2.94004789926008</v>
      </c>
      <c r="P281" s="68">
        <f t="shared" si="30"/>
        <v>2.896235756073055</v>
      </c>
      <c r="Q281" s="68">
        <f t="shared" si="31"/>
        <v>2.853745886925079</v>
      </c>
      <c r="R281" s="68">
        <f t="shared" si="32"/>
        <v>2.8118793748282087</v>
      </c>
      <c r="S281" s="68">
        <f t="shared" si="33"/>
        <v>2.7706270746845427</v>
      </c>
      <c r="T281" s="68">
        <f t="shared" si="34"/>
        <v>2.7286994039635943</v>
      </c>
      <c r="U281" s="68">
        <f t="shared" si="35"/>
        <v>93.65764794971467</v>
      </c>
    </row>
    <row r="282" spans="11:21" ht="15">
      <c r="K282">
        <f t="shared" si="36"/>
        <v>156</v>
      </c>
      <c r="L282" s="120">
        <f t="shared" si="37"/>
        <v>40634</v>
      </c>
      <c r="M282" s="118">
        <f t="shared" si="38"/>
        <v>110.67186404343445</v>
      </c>
      <c r="N282" s="68"/>
      <c r="O282" s="68">
        <f t="shared" si="29"/>
        <v>2.940392777797515</v>
      </c>
      <c r="P282" s="68">
        <f t="shared" si="30"/>
        <v>2.8965754952833827</v>
      </c>
      <c r="Q282" s="68">
        <f t="shared" si="31"/>
        <v>2.854080641915955</v>
      </c>
      <c r="R282" s="68">
        <f t="shared" si="32"/>
        <v>2.8122092187217307</v>
      </c>
      <c r="S282" s="68">
        <f t="shared" si="33"/>
        <v>2.7709520795300535</v>
      </c>
      <c r="T282" s="68">
        <f t="shared" si="34"/>
        <v>2.7290194905376173</v>
      </c>
      <c r="U282" s="68">
        <f t="shared" si="35"/>
        <v>93.6686343396482</v>
      </c>
    </row>
    <row r="283" spans="11:21" ht="15">
      <c r="K283">
        <f t="shared" si="36"/>
        <v>157</v>
      </c>
      <c r="L283" s="120">
        <f t="shared" si="37"/>
        <v>40635</v>
      </c>
      <c r="M283" s="118">
        <f t="shared" si="38"/>
        <v>110.68484626410371</v>
      </c>
      <c r="N283" s="68"/>
      <c r="O283" s="68">
        <f t="shared" si="29"/>
        <v>2.9407376967904826</v>
      </c>
      <c r="P283" s="68">
        <f t="shared" si="30"/>
        <v>2.8969152743463815</v>
      </c>
      <c r="Q283" s="68">
        <f t="shared" si="31"/>
        <v>2.854415436174835</v>
      </c>
      <c r="R283" s="68">
        <f t="shared" si="32"/>
        <v>2.8125391013071668</v>
      </c>
      <c r="S283" s="68">
        <f t="shared" si="33"/>
        <v>2.77127712249984</v>
      </c>
      <c r="T283" s="68">
        <f t="shared" si="34"/>
        <v>2.729339614658984</v>
      </c>
      <c r="U283" s="68">
        <f t="shared" si="35"/>
        <v>93.67962201832603</v>
      </c>
    </row>
    <row r="284" spans="11:21" ht="15">
      <c r="K284">
        <f t="shared" si="36"/>
        <v>158</v>
      </c>
      <c r="L284" s="120">
        <f t="shared" si="37"/>
        <v>40636</v>
      </c>
      <c r="M284" s="118">
        <f t="shared" si="38"/>
        <v>110.6978300076357</v>
      </c>
      <c r="N284" s="68"/>
      <c r="O284" s="68">
        <f t="shared" si="29"/>
        <v>2.9410826562437293</v>
      </c>
      <c r="P284" s="68">
        <f t="shared" si="30"/>
        <v>2.897255093266726</v>
      </c>
      <c r="Q284" s="68">
        <f t="shared" si="31"/>
        <v>2.8547502697063245</v>
      </c>
      <c r="R284" s="68">
        <f t="shared" si="32"/>
        <v>2.8128690225890542</v>
      </c>
      <c r="S284" s="68">
        <f t="shared" si="33"/>
        <v>2.7716022035983734</v>
      </c>
      <c r="T284" s="68">
        <f t="shared" si="34"/>
        <v>2.7296597763320993</v>
      </c>
      <c r="U284" s="68">
        <f t="shared" si="35"/>
        <v>93.6906109858994</v>
      </c>
    </row>
    <row r="285" spans="11:21" ht="15">
      <c r="K285">
        <f t="shared" si="36"/>
        <v>159</v>
      </c>
      <c r="L285" s="120">
        <f t="shared" si="37"/>
        <v>40637</v>
      </c>
      <c r="M285" s="118">
        <f t="shared" si="38"/>
        <v>110.71081527420903</v>
      </c>
      <c r="N285" s="68"/>
      <c r="O285" s="68">
        <f t="shared" si="29"/>
        <v>2.9414276561620007</v>
      </c>
      <c r="P285" s="68">
        <f t="shared" si="30"/>
        <v>2.8975949520490922</v>
      </c>
      <c r="Q285" s="68">
        <f t="shared" si="31"/>
        <v>2.8550851425150316</v>
      </c>
      <c r="R285" s="68">
        <f t="shared" si="32"/>
        <v>2.813198982571934</v>
      </c>
      <c r="S285" s="68">
        <f t="shared" si="33"/>
        <v>2.7719273228301278</v>
      </c>
      <c r="T285" s="68">
        <f t="shared" si="34"/>
        <v>2.7299799755613674</v>
      </c>
      <c r="U285" s="68">
        <f t="shared" si="35"/>
        <v>93.70160124251947</v>
      </c>
    </row>
    <row r="286" spans="11:21" ht="15">
      <c r="K286">
        <f t="shared" si="36"/>
        <v>160</v>
      </c>
      <c r="L286" s="120">
        <f t="shared" si="37"/>
        <v>40638</v>
      </c>
      <c r="M286" s="118">
        <f t="shared" si="38"/>
        <v>110.72380206400233</v>
      </c>
      <c r="N286" s="68"/>
      <c r="O286" s="68">
        <f t="shared" si="29"/>
        <v>2.941772696550044</v>
      </c>
      <c r="P286" s="68">
        <f t="shared" si="30"/>
        <v>2.8979348506981553</v>
      </c>
      <c r="Q286" s="68">
        <f t="shared" si="31"/>
        <v>2.8554200546055624</v>
      </c>
      <c r="R286" s="68">
        <f t="shared" si="32"/>
        <v>2.8135289812603452</v>
      </c>
      <c r="S286" s="68">
        <f t="shared" si="33"/>
        <v>2.772252480199575</v>
      </c>
      <c r="T286" s="68">
        <f t="shared" si="34"/>
        <v>2.730300212351195</v>
      </c>
      <c r="U286" s="68">
        <f t="shared" si="35"/>
        <v>93.71259278833745</v>
      </c>
    </row>
    <row r="287" spans="11:21" ht="15">
      <c r="K287">
        <f t="shared" si="36"/>
        <v>161</v>
      </c>
      <c r="L287" s="120">
        <f t="shared" si="37"/>
        <v>40639</v>
      </c>
      <c r="M287" s="118">
        <f t="shared" si="38"/>
        <v>110.73679037719432</v>
      </c>
      <c r="N287" s="68"/>
      <c r="O287" s="68">
        <f t="shared" si="29"/>
        <v>2.942117777412606</v>
      </c>
      <c r="P287" s="68">
        <f t="shared" si="30"/>
        <v>2.898274789218593</v>
      </c>
      <c r="Q287" s="68">
        <f t="shared" si="31"/>
        <v>2.855755005982525</v>
      </c>
      <c r="R287" s="68">
        <f t="shared" si="32"/>
        <v>2.813859018658828</v>
      </c>
      <c r="S287" s="68">
        <f t="shared" si="33"/>
        <v>2.772577675711189</v>
      </c>
      <c r="T287" s="68">
        <f t="shared" si="34"/>
        <v>2.7306204867059867</v>
      </c>
      <c r="U287" s="68">
        <f t="shared" si="35"/>
        <v>93.72358562350459</v>
      </c>
    </row>
    <row r="288" spans="11:21" ht="15">
      <c r="K288">
        <f t="shared" si="36"/>
        <v>162</v>
      </c>
      <c r="L288" s="120">
        <f t="shared" si="37"/>
        <v>40640</v>
      </c>
      <c r="M288" s="118">
        <f t="shared" si="38"/>
        <v>110.74978021396367</v>
      </c>
      <c r="N288" s="68"/>
      <c r="O288" s="68">
        <f t="shared" si="29"/>
        <v>2.9424628987544352</v>
      </c>
      <c r="P288" s="68">
        <f t="shared" si="30"/>
        <v>2.898614767615081</v>
      </c>
      <c r="Q288" s="68">
        <f t="shared" si="31"/>
        <v>2.856089996650528</v>
      </c>
      <c r="R288" s="68">
        <f t="shared" si="32"/>
        <v>2.8141890947719235</v>
      </c>
      <c r="S288" s="68">
        <f t="shared" si="33"/>
        <v>2.7729029093694444</v>
      </c>
      <c r="T288" s="68">
        <f t="shared" si="34"/>
        <v>2.73094079863015</v>
      </c>
      <c r="U288" s="68">
        <f t="shared" si="35"/>
        <v>93.73457974817211</v>
      </c>
    </row>
    <row r="289" spans="11:21" ht="15">
      <c r="K289">
        <f t="shared" si="36"/>
        <v>163</v>
      </c>
      <c r="L289" s="120">
        <f t="shared" si="37"/>
        <v>40641</v>
      </c>
      <c r="M289" s="118">
        <f t="shared" si="38"/>
        <v>110.76277157448911</v>
      </c>
      <c r="N289" s="68"/>
      <c r="O289" s="68">
        <f t="shared" si="29"/>
        <v>2.9428080605802793</v>
      </c>
      <c r="P289" s="68">
        <f t="shared" si="30"/>
        <v>2.8989547858922977</v>
      </c>
      <c r="Q289" s="68">
        <f t="shared" si="31"/>
        <v>2.8564250266141804</v>
      </c>
      <c r="R289" s="68">
        <f t="shared" si="32"/>
        <v>2.8145192096041725</v>
      </c>
      <c r="S289" s="68">
        <f t="shared" si="33"/>
        <v>2.773228181178816</v>
      </c>
      <c r="T289" s="68">
        <f t="shared" si="34"/>
        <v>2.731261148128091</v>
      </c>
      <c r="U289" s="68">
        <f t="shared" si="35"/>
        <v>93.74557516249128</v>
      </c>
    </row>
    <row r="290" spans="11:21" ht="15">
      <c r="K290">
        <f t="shared" si="36"/>
        <v>164</v>
      </c>
      <c r="L290" s="120">
        <f t="shared" si="37"/>
        <v>40642</v>
      </c>
      <c r="M290" s="118">
        <f t="shared" si="38"/>
        <v>110.77576445894941</v>
      </c>
      <c r="N290" s="68"/>
      <c r="O290" s="68">
        <f t="shared" si="29"/>
        <v>2.9431532628948878</v>
      </c>
      <c r="P290" s="68">
        <f t="shared" si="30"/>
        <v>2.899294844054921</v>
      </c>
      <c r="Q290" s="68">
        <f t="shared" si="31"/>
        <v>2.8567600958780925</v>
      </c>
      <c r="R290" s="68">
        <f t="shared" si="32"/>
        <v>2.8148493631601177</v>
      </c>
      <c r="S290" s="68">
        <f t="shared" si="33"/>
        <v>2.7735534911437787</v>
      </c>
      <c r="T290" s="68">
        <f t="shared" si="34"/>
        <v>2.7315815352042185</v>
      </c>
      <c r="U290" s="68">
        <f t="shared" si="35"/>
        <v>93.7565718666134</v>
      </c>
    </row>
    <row r="291" spans="11:21" ht="15">
      <c r="K291">
        <f t="shared" si="36"/>
        <v>165</v>
      </c>
      <c r="L291" s="120">
        <f t="shared" si="37"/>
        <v>40643</v>
      </c>
      <c r="M291" s="118">
        <f t="shared" si="38"/>
        <v>110.78875886752328</v>
      </c>
      <c r="N291" s="68"/>
      <c r="O291" s="68">
        <f t="shared" si="29"/>
        <v>2.9434985057030087</v>
      </c>
      <c r="P291" s="68">
        <f t="shared" si="30"/>
        <v>2.89963494210763</v>
      </c>
      <c r="Q291" s="68">
        <f t="shared" si="31"/>
        <v>2.857095204446873</v>
      </c>
      <c r="R291" s="68">
        <f t="shared" si="32"/>
        <v>2.815179555444301</v>
      </c>
      <c r="S291" s="68">
        <f t="shared" si="33"/>
        <v>2.7738788392688085</v>
      </c>
      <c r="T291" s="68">
        <f t="shared" si="34"/>
        <v>2.73190195986294</v>
      </c>
      <c r="U291" s="68">
        <f t="shared" si="35"/>
        <v>93.76756986068973</v>
      </c>
    </row>
    <row r="292" spans="11:21" ht="15">
      <c r="K292">
        <f t="shared" si="36"/>
        <v>166</v>
      </c>
      <c r="L292" s="120">
        <f t="shared" si="37"/>
        <v>40644</v>
      </c>
      <c r="M292" s="118">
        <f t="shared" si="38"/>
        <v>110.80175480038957</v>
      </c>
      <c r="N292" s="68"/>
      <c r="O292" s="68">
        <f t="shared" si="29"/>
        <v>2.943843789009395</v>
      </c>
      <c r="P292" s="68">
        <f t="shared" si="30"/>
        <v>2.8999750800551034</v>
      </c>
      <c r="Q292" s="68">
        <f t="shared" si="31"/>
        <v>2.857430352325133</v>
      </c>
      <c r="R292" s="68">
        <f t="shared" si="32"/>
        <v>2.8155097864612655</v>
      </c>
      <c r="S292" s="68">
        <f t="shared" si="33"/>
        <v>2.774204225558382</v>
      </c>
      <c r="T292" s="68">
        <f t="shared" si="34"/>
        <v>2.7322224221086633</v>
      </c>
      <c r="U292" s="68">
        <f t="shared" si="35"/>
        <v>93.77856914487162</v>
      </c>
    </row>
    <row r="293" spans="11:21" ht="15">
      <c r="K293">
        <f t="shared" si="36"/>
        <v>167</v>
      </c>
      <c r="L293" s="120">
        <f t="shared" si="37"/>
        <v>40645</v>
      </c>
      <c r="M293" s="118">
        <f t="shared" si="38"/>
        <v>110.81475225772705</v>
      </c>
      <c r="N293" s="68"/>
      <c r="O293" s="68">
        <f t="shared" si="29"/>
        <v>2.9441891128187936</v>
      </c>
      <c r="P293" s="68">
        <f t="shared" si="30"/>
        <v>2.9003152579020215</v>
      </c>
      <c r="Q293" s="68">
        <f t="shared" si="31"/>
        <v>2.8577655395174846</v>
      </c>
      <c r="R293" s="68">
        <f t="shared" si="32"/>
        <v>2.8158400562155546</v>
      </c>
      <c r="S293" s="68">
        <f t="shared" si="33"/>
        <v>2.7745296500169756</v>
      </c>
      <c r="T293" s="68">
        <f t="shared" si="34"/>
        <v>2.7325429219457984</v>
      </c>
      <c r="U293" s="68">
        <f t="shared" si="35"/>
        <v>93.78956971931042</v>
      </c>
    </row>
    <row r="294" spans="11:21" ht="15">
      <c r="K294">
        <f t="shared" si="36"/>
        <v>168</v>
      </c>
      <c r="L294" s="120">
        <f t="shared" si="37"/>
        <v>40646</v>
      </c>
      <c r="M294" s="118">
        <f t="shared" si="38"/>
        <v>110.8277512397145</v>
      </c>
      <c r="N294" s="68"/>
      <c r="O294" s="68">
        <f t="shared" si="29"/>
        <v>2.9445344771359587</v>
      </c>
      <c r="P294" s="68">
        <f t="shared" si="30"/>
        <v>2.9006554756530645</v>
      </c>
      <c r="Q294" s="68">
        <f t="shared" si="31"/>
        <v>2.8581007660285382</v>
      </c>
      <c r="R294" s="68">
        <f t="shared" si="32"/>
        <v>2.8161703647117124</v>
      </c>
      <c r="S294" s="68">
        <f t="shared" si="33"/>
        <v>2.774855112649066</v>
      </c>
      <c r="T294" s="68">
        <f t="shared" si="34"/>
        <v>2.7328634593787546</v>
      </c>
      <c r="U294" s="68">
        <f t="shared" si="35"/>
        <v>93.80057158415741</v>
      </c>
    </row>
    <row r="295" spans="11:21" ht="15">
      <c r="K295">
        <f aca="true" t="shared" si="39" ref="K295:K353">K294+1</f>
        <v>169</v>
      </c>
      <c r="L295" s="120">
        <f t="shared" si="37"/>
        <v>40647</v>
      </c>
      <c r="M295" s="118">
        <f aca="true" t="shared" si="40" ref="M295:M353">SUM(N295:U295)</f>
        <v>110.84075174653087</v>
      </c>
      <c r="N295" s="68"/>
      <c r="O295" s="68">
        <f t="shared" si="29"/>
        <v>2.94487988196564</v>
      </c>
      <c r="P295" s="68">
        <f t="shared" si="30"/>
        <v>2.9009957333129126</v>
      </c>
      <c r="Q295" s="68">
        <f t="shared" si="31"/>
        <v>2.8584360318629067</v>
      </c>
      <c r="R295" s="68">
        <f t="shared" si="32"/>
        <v>2.816500711954284</v>
      </c>
      <c r="S295" s="68">
        <f t="shared" si="33"/>
        <v>2.775180613459132</v>
      </c>
      <c r="T295" s="68">
        <f t="shared" si="34"/>
        <v>2.7331840344119422</v>
      </c>
      <c r="U295" s="68">
        <f t="shared" si="35"/>
        <v>93.81157473956405</v>
      </c>
    </row>
    <row r="296" spans="11:21" ht="15">
      <c r="K296">
        <f t="shared" si="39"/>
        <v>170</v>
      </c>
      <c r="L296" s="120">
        <f t="shared" si="37"/>
        <v>40648</v>
      </c>
      <c r="M296" s="118">
        <f t="shared" si="40"/>
        <v>110.85375377835493</v>
      </c>
      <c r="N296" s="68"/>
      <c r="O296" s="68">
        <f t="shared" si="29"/>
        <v>2.9452253273125915</v>
      </c>
      <c r="P296" s="68">
        <f t="shared" si="30"/>
        <v>2.9013360308862484</v>
      </c>
      <c r="Q296" s="68">
        <f t="shared" si="31"/>
        <v>2.8587713370252024</v>
      </c>
      <c r="R296" s="68">
        <f t="shared" si="32"/>
        <v>2.816831097947814</v>
      </c>
      <c r="S296" s="68">
        <f t="shared" si="33"/>
        <v>2.7755061524516527</v>
      </c>
      <c r="T296" s="68">
        <f t="shared" si="34"/>
        <v>2.7335046470497724</v>
      </c>
      <c r="U296" s="68">
        <f t="shared" si="35"/>
        <v>93.82257918568165</v>
      </c>
    </row>
    <row r="297" spans="11:21" ht="15">
      <c r="K297">
        <f t="shared" si="39"/>
        <v>171</v>
      </c>
      <c r="L297" s="120">
        <f t="shared" si="37"/>
        <v>40649</v>
      </c>
      <c r="M297" s="118">
        <f t="shared" si="40"/>
        <v>110.86675733536562</v>
      </c>
      <c r="N297" s="68"/>
      <c r="O297" s="68">
        <f t="shared" si="29"/>
        <v>2.9455708131815643</v>
      </c>
      <c r="P297" s="68">
        <f t="shared" si="30"/>
        <v>2.901676368377753</v>
      </c>
      <c r="Q297" s="68">
        <f t="shared" si="31"/>
        <v>2.859106681520039</v>
      </c>
      <c r="R297" s="68">
        <f t="shared" si="32"/>
        <v>2.8171615226968476</v>
      </c>
      <c r="S297" s="68">
        <f t="shared" si="33"/>
        <v>2.775831729631106</v>
      </c>
      <c r="T297" s="68">
        <f t="shared" si="34"/>
        <v>2.733825297296655</v>
      </c>
      <c r="U297" s="68">
        <f t="shared" si="35"/>
        <v>93.83358492266166</v>
      </c>
    </row>
    <row r="298" spans="11:21" ht="15">
      <c r="K298">
        <f t="shared" si="39"/>
        <v>172</v>
      </c>
      <c r="L298" s="120">
        <f t="shared" si="37"/>
        <v>40650</v>
      </c>
      <c r="M298" s="118">
        <f t="shared" si="40"/>
        <v>110.87976241774186</v>
      </c>
      <c r="N298" s="68"/>
      <c r="O298" s="68">
        <f t="shared" si="29"/>
        <v>2.945916339577313</v>
      </c>
      <c r="P298" s="68">
        <f t="shared" si="30"/>
        <v>2.90201674579211</v>
      </c>
      <c r="Q298" s="68">
        <f t="shared" si="31"/>
        <v>2.85944206535203</v>
      </c>
      <c r="R298" s="68">
        <f t="shared" si="32"/>
        <v>2.8174919862059316</v>
      </c>
      <c r="S298" s="68">
        <f t="shared" si="33"/>
        <v>2.7761573450019714</v>
      </c>
      <c r="T298" s="68">
        <f t="shared" si="34"/>
        <v>2.7341459851570025</v>
      </c>
      <c r="U298" s="68">
        <f t="shared" si="35"/>
        <v>93.8445919506555</v>
      </c>
    </row>
    <row r="299" spans="11:21" ht="15">
      <c r="K299">
        <f t="shared" si="39"/>
        <v>173</v>
      </c>
      <c r="L299" s="120">
        <f t="shared" si="37"/>
        <v>40651</v>
      </c>
      <c r="M299" s="118">
        <f t="shared" si="40"/>
        <v>110.89276902566255</v>
      </c>
      <c r="N299" s="68"/>
      <c r="O299" s="68">
        <f t="shared" si="29"/>
        <v>2.946261906504591</v>
      </c>
      <c r="P299" s="68">
        <f t="shared" si="30"/>
        <v>2.902357163134001</v>
      </c>
      <c r="Q299" s="68">
        <f t="shared" si="31"/>
        <v>2.8597774885257907</v>
      </c>
      <c r="R299" s="68">
        <f t="shared" si="32"/>
        <v>2.8178224884796124</v>
      </c>
      <c r="S299" s="68">
        <f t="shared" si="33"/>
        <v>2.7764829985687287</v>
      </c>
      <c r="T299" s="68">
        <f t="shared" si="34"/>
        <v>2.734466710635227</v>
      </c>
      <c r="U299" s="68">
        <f t="shared" si="35"/>
        <v>93.85560026981459</v>
      </c>
    </row>
    <row r="300" spans="11:21" ht="15">
      <c r="K300">
        <f t="shared" si="39"/>
        <v>174</v>
      </c>
      <c r="L300" s="120">
        <f t="shared" si="37"/>
        <v>40652</v>
      </c>
      <c r="M300" s="118">
        <f t="shared" si="40"/>
        <v>110.90577715930664</v>
      </c>
      <c r="N300" s="68"/>
      <c r="O300" s="68">
        <f t="shared" si="29"/>
        <v>2.9466075139681536</v>
      </c>
      <c r="P300" s="68">
        <f t="shared" si="30"/>
        <v>2.9026976204081105</v>
      </c>
      <c r="Q300" s="68">
        <f t="shared" si="31"/>
        <v>2.860112951045935</v>
      </c>
      <c r="R300" s="68">
        <f t="shared" si="32"/>
        <v>2.818153029522437</v>
      </c>
      <c r="S300" s="68">
        <f t="shared" si="33"/>
        <v>2.776808690335859</v>
      </c>
      <c r="T300" s="68">
        <f t="shared" si="34"/>
        <v>2.7347874737357416</v>
      </c>
      <c r="U300" s="68">
        <f t="shared" si="35"/>
        <v>93.8666098802904</v>
      </c>
    </row>
    <row r="301" spans="11:21" ht="15">
      <c r="K301">
        <f t="shared" si="39"/>
        <v>175</v>
      </c>
      <c r="L301" s="120">
        <f t="shared" si="37"/>
        <v>40653</v>
      </c>
      <c r="M301" s="118">
        <f t="shared" si="40"/>
        <v>110.91878681885314</v>
      </c>
      <c r="N301" s="68"/>
      <c r="O301" s="68">
        <f t="shared" si="29"/>
        <v>2.946953161972754</v>
      </c>
      <c r="P301" s="68">
        <f t="shared" si="30"/>
        <v>2.903038117619123</v>
      </c>
      <c r="Q301" s="68">
        <f t="shared" si="31"/>
        <v>2.860448452917079</v>
      </c>
      <c r="R301" s="68">
        <f t="shared" si="32"/>
        <v>2.8184836093389545</v>
      </c>
      <c r="S301" s="68">
        <f t="shared" si="33"/>
        <v>2.7771344203078434</v>
      </c>
      <c r="T301" s="68">
        <f t="shared" si="34"/>
        <v>2.735108274462959</v>
      </c>
      <c r="U301" s="68">
        <f t="shared" si="35"/>
        <v>93.87762078223442</v>
      </c>
    </row>
    <row r="302" spans="11:21" ht="15">
      <c r="K302">
        <f t="shared" si="39"/>
        <v>176</v>
      </c>
      <c r="L302" s="120">
        <f t="shared" si="37"/>
        <v>40654</v>
      </c>
      <c r="M302" s="118">
        <f t="shared" si="40"/>
        <v>110.93179800448101</v>
      </c>
      <c r="N302" s="68"/>
      <c r="O302" s="68">
        <f t="shared" si="29"/>
        <v>2.9472988505231505</v>
      </c>
      <c r="P302" s="68">
        <f t="shared" si="30"/>
        <v>2.9033786547717226</v>
      </c>
      <c r="Q302" s="68">
        <f t="shared" si="31"/>
        <v>2.860783994143838</v>
      </c>
      <c r="R302" s="68">
        <f t="shared" si="32"/>
        <v>2.818814227933711</v>
      </c>
      <c r="S302" s="68">
        <f t="shared" si="33"/>
        <v>2.7774601884891634</v>
      </c>
      <c r="T302" s="68">
        <f t="shared" si="34"/>
        <v>2.7354291128212926</v>
      </c>
      <c r="U302" s="68">
        <f t="shared" si="35"/>
        <v>93.88863297579813</v>
      </c>
    </row>
    <row r="303" spans="11:21" ht="15">
      <c r="K303">
        <f t="shared" si="39"/>
        <v>177</v>
      </c>
      <c r="L303" s="120">
        <f t="shared" si="37"/>
        <v>40655</v>
      </c>
      <c r="M303" s="118">
        <f t="shared" si="40"/>
        <v>110.94481071636926</v>
      </c>
      <c r="N303" s="68"/>
      <c r="O303" s="68">
        <f t="shared" si="29"/>
        <v>2.9476445796240967</v>
      </c>
      <c r="P303" s="68">
        <f t="shared" si="30"/>
        <v>2.9037192318705958</v>
      </c>
      <c r="Q303" s="68">
        <f t="shared" si="31"/>
        <v>2.8611195747308296</v>
      </c>
      <c r="R303" s="68">
        <f t="shared" si="32"/>
        <v>2.8191448853112573</v>
      </c>
      <c r="S303" s="68">
        <f t="shared" si="33"/>
        <v>2.7777859948843004</v>
      </c>
      <c r="T303" s="68">
        <f t="shared" si="34"/>
        <v>2.7357499888151575</v>
      </c>
      <c r="U303" s="68">
        <f t="shared" si="35"/>
        <v>93.89964646113303</v>
      </c>
    </row>
    <row r="304" spans="11:21" ht="15">
      <c r="K304">
        <f t="shared" si="39"/>
        <v>178</v>
      </c>
      <c r="L304" s="120">
        <f t="shared" si="37"/>
        <v>40656</v>
      </c>
      <c r="M304" s="118">
        <f t="shared" si="40"/>
        <v>110.95782495469695</v>
      </c>
      <c r="N304" s="68"/>
      <c r="O304" s="68">
        <f t="shared" si="29"/>
        <v>2.9479903492803503</v>
      </c>
      <c r="P304" s="68">
        <f t="shared" si="30"/>
        <v>2.904059848920426</v>
      </c>
      <c r="Q304" s="68">
        <f t="shared" si="31"/>
        <v>2.86145519468267</v>
      </c>
      <c r="R304" s="68">
        <f t="shared" si="32"/>
        <v>2.819475581476142</v>
      </c>
      <c r="S304" s="68">
        <f t="shared" si="33"/>
        <v>2.7781118394977375</v>
      </c>
      <c r="T304" s="68">
        <f t="shared" si="34"/>
        <v>2.7360709024489687</v>
      </c>
      <c r="U304" s="68">
        <f t="shared" si="35"/>
        <v>93.91066123839066</v>
      </c>
    </row>
    <row r="305" spans="11:21" ht="15">
      <c r="K305">
        <f t="shared" si="39"/>
        <v>179</v>
      </c>
      <c r="L305" s="120">
        <f t="shared" si="37"/>
        <v>40657</v>
      </c>
      <c r="M305" s="118">
        <f t="shared" si="40"/>
        <v>110.97084071964314</v>
      </c>
      <c r="N305" s="68"/>
      <c r="O305" s="68">
        <f t="shared" si="29"/>
        <v>2.9483361594966695</v>
      </c>
      <c r="P305" s="68">
        <f t="shared" si="30"/>
        <v>2.9044005059259024</v>
      </c>
      <c r="Q305" s="68">
        <f t="shared" si="31"/>
        <v>2.8617908540039774</v>
      </c>
      <c r="R305" s="68">
        <f t="shared" si="32"/>
        <v>2.819806316432915</v>
      </c>
      <c r="S305" s="68">
        <f t="shared" si="33"/>
        <v>2.7784377223339582</v>
      </c>
      <c r="T305" s="68">
        <f t="shared" si="34"/>
        <v>2.73639185372714</v>
      </c>
      <c r="U305" s="68">
        <f t="shared" si="35"/>
        <v>93.92167730772258</v>
      </c>
    </row>
    <row r="306" spans="11:21" ht="15">
      <c r="K306">
        <f t="shared" si="39"/>
        <v>180</v>
      </c>
      <c r="L306" s="120">
        <f t="shared" si="37"/>
        <v>40658</v>
      </c>
      <c r="M306" s="118">
        <f t="shared" si="40"/>
        <v>110.98385801138689</v>
      </c>
      <c r="N306" s="68"/>
      <c r="O306" s="68">
        <f t="shared" si="29"/>
        <v>2.948682010277811</v>
      </c>
      <c r="P306" s="68">
        <f t="shared" si="30"/>
        <v>2.90474120289171</v>
      </c>
      <c r="Q306" s="68">
        <f t="shared" si="31"/>
        <v>2.8621265526993693</v>
      </c>
      <c r="R306" s="68">
        <f t="shared" si="32"/>
        <v>2.820137090186127</v>
      </c>
      <c r="S306" s="68">
        <f t="shared" si="33"/>
        <v>2.778763643397446</v>
      </c>
      <c r="T306" s="68">
        <f t="shared" si="34"/>
        <v>2.7367128426540885</v>
      </c>
      <c r="U306" s="68">
        <f t="shared" si="35"/>
        <v>93.93269466928034</v>
      </c>
    </row>
    <row r="307" spans="11:21" ht="15">
      <c r="K307">
        <f t="shared" si="39"/>
        <v>181</v>
      </c>
      <c r="L307" s="120">
        <f t="shared" si="37"/>
        <v>40659</v>
      </c>
      <c r="M307" s="118">
        <f t="shared" si="40"/>
        <v>110.99687683010731</v>
      </c>
      <c r="N307" s="68"/>
      <c r="O307" s="68">
        <f t="shared" si="29"/>
        <v>2.9490279016285332</v>
      </c>
      <c r="P307" s="68">
        <f t="shared" si="30"/>
        <v>2.9050819398225376</v>
      </c>
      <c r="Q307" s="68">
        <f t="shared" si="31"/>
        <v>2.8624622907734656</v>
      </c>
      <c r="R307" s="68">
        <f t="shared" si="32"/>
        <v>2.8204679027403277</v>
      </c>
      <c r="S307" s="68">
        <f t="shared" si="33"/>
        <v>2.7790896026926846</v>
      </c>
      <c r="T307" s="68">
        <f t="shared" si="34"/>
        <v>2.7370338692342306</v>
      </c>
      <c r="U307" s="68">
        <f t="shared" si="35"/>
        <v>93.94371332321553</v>
      </c>
    </row>
    <row r="308" spans="11:21" ht="15">
      <c r="K308">
        <f t="shared" si="39"/>
        <v>182</v>
      </c>
      <c r="L308" s="120">
        <f t="shared" si="37"/>
        <v>40660</v>
      </c>
      <c r="M308" s="118">
        <f t="shared" si="40"/>
        <v>111.0098971759835</v>
      </c>
      <c r="N308" s="68"/>
      <c r="O308" s="68">
        <f t="shared" si="29"/>
        <v>2.949373833553596</v>
      </c>
      <c r="P308" s="68">
        <f t="shared" si="30"/>
        <v>2.905422716723072</v>
      </c>
      <c r="Q308" s="68">
        <f t="shared" si="31"/>
        <v>2.8627980682308847</v>
      </c>
      <c r="R308" s="68">
        <f t="shared" si="32"/>
        <v>2.82079875410007</v>
      </c>
      <c r="S308" s="68">
        <f t="shared" si="33"/>
        <v>2.779415600224159</v>
      </c>
      <c r="T308" s="68">
        <f t="shared" si="34"/>
        <v>2.7373549334719827</v>
      </c>
      <c r="U308" s="68">
        <f t="shared" si="35"/>
        <v>93.95473326967974</v>
      </c>
    </row>
    <row r="309" spans="11:21" ht="15">
      <c r="K309">
        <f t="shared" si="39"/>
        <v>183</v>
      </c>
      <c r="L309" s="120">
        <f t="shared" si="37"/>
        <v>40661</v>
      </c>
      <c r="M309" s="118">
        <f t="shared" si="40"/>
        <v>111.02291904919463</v>
      </c>
      <c r="N309" s="68"/>
      <c r="O309" s="68">
        <f t="shared" si="29"/>
        <v>2.949719806057758</v>
      </c>
      <c r="P309" s="68">
        <f t="shared" si="30"/>
        <v>2.905763533598003</v>
      </c>
      <c r="Q309" s="68">
        <f t="shared" si="31"/>
        <v>2.863133885076246</v>
      </c>
      <c r="R309" s="68">
        <f t="shared" si="32"/>
        <v>2.8211296442699054</v>
      </c>
      <c r="S309" s="68">
        <f t="shared" si="33"/>
        <v>2.7797416359963556</v>
      </c>
      <c r="T309" s="68">
        <f t="shared" si="34"/>
        <v>2.737676035371762</v>
      </c>
      <c r="U309" s="68">
        <f t="shared" si="35"/>
        <v>93.96575450882459</v>
      </c>
    </row>
    <row r="310" spans="11:21" ht="15">
      <c r="K310">
        <f t="shared" si="39"/>
        <v>184</v>
      </c>
      <c r="L310" s="120">
        <f t="shared" si="37"/>
        <v>40662</v>
      </c>
      <c r="M310" s="118">
        <f t="shared" si="40"/>
        <v>111.03594244991984</v>
      </c>
      <c r="N310" s="68"/>
      <c r="O310" s="68">
        <f t="shared" si="29"/>
        <v>2.95006581914578</v>
      </c>
      <c r="P310" s="68">
        <f t="shared" si="30"/>
        <v>2.906104390452019</v>
      </c>
      <c r="Q310" s="68">
        <f t="shared" si="31"/>
        <v>2.8634697413141708</v>
      </c>
      <c r="R310" s="68">
        <f t="shared" si="32"/>
        <v>2.821460573254387</v>
      </c>
      <c r="S310" s="68">
        <f t="shared" si="33"/>
        <v>2.780067710013758</v>
      </c>
      <c r="T310" s="68">
        <f t="shared" si="34"/>
        <v>2.7379971749379868</v>
      </c>
      <c r="U310" s="68">
        <f t="shared" si="35"/>
        <v>93.97677704080175</v>
      </c>
    </row>
    <row r="311" spans="11:21" ht="15">
      <c r="K311">
        <f t="shared" si="39"/>
        <v>185</v>
      </c>
      <c r="L311" s="120">
        <f t="shared" si="37"/>
        <v>40663</v>
      </c>
      <c r="M311" s="118">
        <f t="shared" si="40"/>
        <v>111.04896737833835</v>
      </c>
      <c r="N311" s="68"/>
      <c r="O311" s="68">
        <f t="shared" si="29"/>
        <v>2.950411872822422</v>
      </c>
      <c r="P311" s="68">
        <f t="shared" si="30"/>
        <v>2.90644528728981</v>
      </c>
      <c r="Q311" s="68">
        <f t="shared" si="31"/>
        <v>2.8638056369492797</v>
      </c>
      <c r="R311" s="68">
        <f t="shared" si="32"/>
        <v>2.821791541058068</v>
      </c>
      <c r="S311" s="68">
        <f t="shared" si="33"/>
        <v>2.7803938222808537</v>
      </c>
      <c r="T311" s="68">
        <f t="shared" si="34"/>
        <v>2.7383183521750754</v>
      </c>
      <c r="U311" s="68">
        <f t="shared" si="35"/>
        <v>93.98780086576284</v>
      </c>
    </row>
    <row r="312" spans="11:21" ht="15">
      <c r="K312">
        <f t="shared" si="39"/>
        <v>186</v>
      </c>
      <c r="L312" s="120">
        <f t="shared" si="37"/>
        <v>40664</v>
      </c>
      <c r="M312" s="118">
        <f t="shared" si="40"/>
        <v>111.0619938346293</v>
      </c>
      <c r="N312" s="68"/>
      <c r="O312" s="68">
        <f t="shared" si="29"/>
        <v>2.950757967092445</v>
      </c>
      <c r="P312" s="68">
        <f t="shared" si="30"/>
        <v>2.9067862241160656</v>
      </c>
      <c r="Q312" s="68">
        <f t="shared" si="31"/>
        <v>2.864141571986194</v>
      </c>
      <c r="R312" s="68">
        <f t="shared" si="32"/>
        <v>2.8221225476855003</v>
      </c>
      <c r="S312" s="68">
        <f t="shared" si="33"/>
        <v>2.78071997280213</v>
      </c>
      <c r="T312" s="68">
        <f t="shared" si="34"/>
        <v>2.7386395670874464</v>
      </c>
      <c r="U312" s="68">
        <f t="shared" si="35"/>
        <v>93.99882598385952</v>
      </c>
    </row>
    <row r="313" spans="11:21" ht="15">
      <c r="K313">
        <f t="shared" si="39"/>
        <v>187</v>
      </c>
      <c r="L313" s="120">
        <f t="shared" si="37"/>
        <v>40665</v>
      </c>
      <c r="M313" s="118">
        <f t="shared" si="40"/>
        <v>111.07502181897196</v>
      </c>
      <c r="N313" s="68"/>
      <c r="O313" s="68">
        <f t="shared" si="29"/>
        <v>2.9511041019606123</v>
      </c>
      <c r="P313" s="68">
        <f t="shared" si="30"/>
        <v>2.907127200935477</v>
      </c>
      <c r="Q313" s="68">
        <f t="shared" si="31"/>
        <v>2.864477546429536</v>
      </c>
      <c r="R313" s="68">
        <f t="shared" si="32"/>
        <v>2.82245359314124</v>
      </c>
      <c r="S313" s="68">
        <f t="shared" si="33"/>
        <v>2.7810461615820734</v>
      </c>
      <c r="T313" s="68">
        <f t="shared" si="34"/>
        <v>2.7389608196795203</v>
      </c>
      <c r="U313" s="68">
        <f t="shared" si="35"/>
        <v>94.0098523952435</v>
      </c>
    </row>
    <row r="314" spans="11:21" ht="15">
      <c r="K314">
        <f t="shared" si="39"/>
        <v>188</v>
      </c>
      <c r="L314" s="120">
        <f t="shared" si="37"/>
        <v>40666</v>
      </c>
      <c r="M314" s="118">
        <f t="shared" si="40"/>
        <v>111.08805133154557</v>
      </c>
      <c r="N314" s="68"/>
      <c r="O314" s="68">
        <f t="shared" si="29"/>
        <v>2.951450277431684</v>
      </c>
      <c r="P314" s="68">
        <f t="shared" si="30"/>
        <v>2.907468217752736</v>
      </c>
      <c r="Q314" s="68">
        <f t="shared" si="31"/>
        <v>2.8648135602839275</v>
      </c>
      <c r="R314" s="68">
        <f t="shared" si="32"/>
        <v>2.8227846774298406</v>
      </c>
      <c r="S314" s="68">
        <f t="shared" si="33"/>
        <v>2.781372388625172</v>
      </c>
      <c r="T314" s="68">
        <f t="shared" si="34"/>
        <v>2.7392821099557154</v>
      </c>
      <c r="U314" s="68">
        <f t="shared" si="35"/>
        <v>94.02088010006649</v>
      </c>
    </row>
    <row r="315" spans="11:21" ht="15">
      <c r="K315">
        <f t="shared" si="39"/>
        <v>189</v>
      </c>
      <c r="L315" s="120">
        <f t="shared" si="37"/>
        <v>40667</v>
      </c>
      <c r="M315" s="118">
        <f t="shared" si="40"/>
        <v>111.1010823725294</v>
      </c>
      <c r="N315" s="68"/>
      <c r="O315" s="68">
        <f t="shared" si="29"/>
        <v>2.951796493510425</v>
      </c>
      <c r="P315" s="68">
        <f t="shared" si="30"/>
        <v>2.9078092745725344</v>
      </c>
      <c r="Q315" s="68">
        <f t="shared" si="31"/>
        <v>2.8651496135539922</v>
      </c>
      <c r="R315" s="68">
        <f t="shared" si="32"/>
        <v>2.8231158005558585</v>
      </c>
      <c r="S315" s="68">
        <f t="shared" si="33"/>
        <v>2.7816986539359148</v>
      </c>
      <c r="T315" s="68">
        <f t="shared" si="34"/>
        <v>2.739603437920454</v>
      </c>
      <c r="U315" s="68">
        <f t="shared" si="35"/>
        <v>94.03190909848023</v>
      </c>
    </row>
    <row r="316" spans="11:21" ht="15">
      <c r="K316">
        <f t="shared" si="39"/>
        <v>190</v>
      </c>
      <c r="L316" s="120">
        <f t="shared" si="37"/>
        <v>40668</v>
      </c>
      <c r="M316" s="118">
        <f t="shared" si="40"/>
        <v>111.11411494210273</v>
      </c>
      <c r="N316" s="68"/>
      <c r="O316" s="68">
        <f t="shared" si="29"/>
        <v>2.9521427502015976</v>
      </c>
      <c r="P316" s="68">
        <f t="shared" si="30"/>
        <v>2.9081503713995644</v>
      </c>
      <c r="Q316" s="68">
        <f t="shared" si="31"/>
        <v>2.8654857062443533</v>
      </c>
      <c r="R316" s="68">
        <f t="shared" si="32"/>
        <v>2.8234469625238487</v>
      </c>
      <c r="S316" s="68">
        <f t="shared" si="33"/>
        <v>2.7820249575187894</v>
      </c>
      <c r="T316" s="68">
        <f t="shared" si="34"/>
        <v>2.7399248035781554</v>
      </c>
      <c r="U316" s="68">
        <f t="shared" si="35"/>
        <v>94.04293939063642</v>
      </c>
    </row>
    <row r="317" spans="11:21" ht="15">
      <c r="K317">
        <f t="shared" si="39"/>
        <v>191</v>
      </c>
      <c r="L317" s="120">
        <f t="shared" si="37"/>
        <v>40669</v>
      </c>
      <c r="M317" s="118">
        <f t="shared" si="40"/>
        <v>111.12714904044489</v>
      </c>
      <c r="N317" s="68"/>
      <c r="O317" s="68">
        <f t="shared" si="29"/>
        <v>2.9524890475099657</v>
      </c>
      <c r="P317" s="68">
        <f t="shared" si="30"/>
        <v>2.908491508238518</v>
      </c>
      <c r="Q317" s="68">
        <f t="shared" si="31"/>
        <v>2.8658218383596354</v>
      </c>
      <c r="R317" s="68">
        <f t="shared" si="32"/>
        <v>2.823778163338367</v>
      </c>
      <c r="S317" s="68">
        <f t="shared" si="33"/>
        <v>2.782351299378287</v>
      </c>
      <c r="T317" s="68">
        <f t="shared" si="34"/>
        <v>2.7402462069332425</v>
      </c>
      <c r="U317" s="68">
        <f t="shared" si="35"/>
        <v>94.05397097668687</v>
      </c>
    </row>
    <row r="318" spans="11:21" ht="15">
      <c r="K318">
        <f t="shared" si="39"/>
        <v>192</v>
      </c>
      <c r="L318" s="120">
        <f t="shared" si="37"/>
        <v>40670</v>
      </c>
      <c r="M318" s="118">
        <f t="shared" si="40"/>
        <v>111.14018466773516</v>
      </c>
      <c r="N318" s="68"/>
      <c r="O318" s="68">
        <f aca="true" t="shared" si="41" ref="O318:O327">$K$48/(1+$L$123/100)^(($J$48-K318)/252)</f>
        <v>2.9528353854402942</v>
      </c>
      <c r="P318" s="68">
        <f aca="true" t="shared" si="42" ref="P318:P381">$K$49/(1+$L$123/100)^(($J$49-K318)/252)</f>
        <v>2.908832685094091</v>
      </c>
      <c r="Q318" s="68">
        <f aca="true" t="shared" si="43" ref="Q318:Q381">$K$50/(1+$L$123/100)^(($J$50-K318)/252)</f>
        <v>2.866158009904463</v>
      </c>
      <c r="R318" s="68">
        <f aca="true" t="shared" si="44" ref="R318:R381">$K$51/(1+$L$123/100)^(($J$51-K318)/252)</f>
        <v>2.824109403003972</v>
      </c>
      <c r="S318" s="68">
        <f aca="true" t="shared" si="45" ref="S318:S381">$K$52/(1+$L$123/100)^(($J$52-K318)/252)</f>
        <v>2.7826776795188963</v>
      </c>
      <c r="T318" s="68">
        <f aca="true" t="shared" si="46" ref="T318:T381">$K$53/(1+$L$123/100)^(($J$53-K318)/252)</f>
        <v>2.740567647990137</v>
      </c>
      <c r="U318" s="68">
        <f aca="true" t="shared" si="47" ref="U318:U381">$K$54/(1+$L$123/100)^(($J$54-K318)/252)</f>
        <v>94.0650038567833</v>
      </c>
    </row>
    <row r="319" spans="11:21" ht="15">
      <c r="K319">
        <f t="shared" si="39"/>
        <v>193</v>
      </c>
      <c r="L319" s="120">
        <f t="shared" si="37"/>
        <v>40671</v>
      </c>
      <c r="M319" s="118">
        <f t="shared" si="40"/>
        <v>111.15322182415295</v>
      </c>
      <c r="N319" s="68"/>
      <c r="O319" s="68">
        <f t="shared" si="41"/>
        <v>2.9531817639973483</v>
      </c>
      <c r="P319" s="68">
        <f t="shared" si="42"/>
        <v>2.9091739019709753</v>
      </c>
      <c r="Q319" s="68">
        <f t="shared" si="43"/>
        <v>2.8664942208834616</v>
      </c>
      <c r="R319" s="68">
        <f t="shared" si="44"/>
        <v>2.824440681525219</v>
      </c>
      <c r="S319" s="68">
        <f t="shared" si="45"/>
        <v>2.783004097945108</v>
      </c>
      <c r="T319" s="68">
        <f t="shared" si="46"/>
        <v>2.740889126753261</v>
      </c>
      <c r="U319" s="68">
        <f t="shared" si="47"/>
        <v>94.07603803107757</v>
      </c>
    </row>
    <row r="320" spans="11:21" ht="15">
      <c r="K320">
        <f t="shared" si="39"/>
        <v>194</v>
      </c>
      <c r="L320" s="120">
        <f aca="true" t="shared" si="48" ref="L320:L383">L319+1</f>
        <v>40672</v>
      </c>
      <c r="M320" s="118">
        <f t="shared" si="40"/>
        <v>111.16626050987757</v>
      </c>
      <c r="N320" s="68"/>
      <c r="O320" s="68">
        <f t="shared" si="41"/>
        <v>2.953528183185893</v>
      </c>
      <c r="P320" s="68">
        <f t="shared" si="42"/>
        <v>2.9095151588738672</v>
      </c>
      <c r="Q320" s="68">
        <f t="shared" si="43"/>
        <v>2.866830471301256</v>
      </c>
      <c r="R320" s="68">
        <f t="shared" si="44"/>
        <v>2.824771998906667</v>
      </c>
      <c r="S320" s="68">
        <f t="shared" si="45"/>
        <v>2.7833305546614135</v>
      </c>
      <c r="T320" s="68">
        <f t="shared" si="46"/>
        <v>2.7412106432270376</v>
      </c>
      <c r="U320" s="68">
        <f t="shared" si="47"/>
        <v>94.08707349972144</v>
      </c>
    </row>
    <row r="321" spans="11:21" ht="15">
      <c r="K321">
        <f t="shared" si="39"/>
        <v>195</v>
      </c>
      <c r="L321" s="120">
        <f t="shared" si="48"/>
        <v>40673</v>
      </c>
      <c r="M321" s="118">
        <f t="shared" si="40"/>
        <v>111.17930072508848</v>
      </c>
      <c r="N321" s="68"/>
      <c r="O321" s="68">
        <f t="shared" si="41"/>
        <v>2.9538746430106952</v>
      </c>
      <c r="P321" s="68">
        <f t="shared" si="42"/>
        <v>2.9098564558074607</v>
      </c>
      <c r="Q321" s="68">
        <f t="shared" si="43"/>
        <v>2.8671667611624736</v>
      </c>
      <c r="R321" s="68">
        <f t="shared" si="44"/>
        <v>2.8251033551528746</v>
      </c>
      <c r="S321" s="68">
        <f t="shared" si="45"/>
        <v>2.7836570496723048</v>
      </c>
      <c r="T321" s="68">
        <f t="shared" si="46"/>
        <v>2.7415321974158906</v>
      </c>
      <c r="U321" s="68">
        <f t="shared" si="47"/>
        <v>94.09811026286678</v>
      </c>
    </row>
    <row r="322" spans="11:21" ht="15">
      <c r="K322">
        <f t="shared" si="39"/>
        <v>196</v>
      </c>
      <c r="L322" s="120">
        <f t="shared" si="48"/>
        <v>40674</v>
      </c>
      <c r="M322" s="118">
        <f t="shared" si="40"/>
        <v>111.19234246996506</v>
      </c>
      <c r="N322" s="68"/>
      <c r="O322" s="68">
        <f t="shared" si="41"/>
        <v>2.954221143476522</v>
      </c>
      <c r="P322" s="68">
        <f t="shared" si="42"/>
        <v>2.9101977927764517</v>
      </c>
      <c r="Q322" s="68">
        <f t="shared" si="43"/>
        <v>2.867503090471741</v>
      </c>
      <c r="R322" s="68">
        <f t="shared" si="44"/>
        <v>2.8254347502684003</v>
      </c>
      <c r="S322" s="68">
        <f t="shared" si="45"/>
        <v>2.7839835829822723</v>
      </c>
      <c r="T322" s="68">
        <f t="shared" si="46"/>
        <v>2.7418537893242445</v>
      </c>
      <c r="U322" s="68">
        <f t="shared" si="47"/>
        <v>94.10914832066543</v>
      </c>
    </row>
    <row r="323" spans="11:21" ht="15">
      <c r="K323">
        <f t="shared" si="39"/>
        <v>197</v>
      </c>
      <c r="L323" s="120">
        <f t="shared" si="48"/>
        <v>40675</v>
      </c>
      <c r="M323" s="118">
        <f t="shared" si="40"/>
        <v>111.20538574468674</v>
      </c>
      <c r="N323" s="68"/>
      <c r="O323" s="68">
        <f t="shared" si="41"/>
        <v>2.9545676845881403</v>
      </c>
      <c r="P323" s="68">
        <f t="shared" si="42"/>
        <v>2.910539169785538</v>
      </c>
      <c r="Q323" s="68">
        <f t="shared" si="43"/>
        <v>2.8678394592336853</v>
      </c>
      <c r="R323" s="68">
        <f t="shared" si="44"/>
        <v>2.8257661842578035</v>
      </c>
      <c r="S323" s="68">
        <f t="shared" si="45"/>
        <v>2.784310154595811</v>
      </c>
      <c r="T323" s="68">
        <f t="shared" si="46"/>
        <v>2.7421754189565233</v>
      </c>
      <c r="U323" s="68">
        <f t="shared" si="47"/>
        <v>94.12018767326924</v>
      </c>
    </row>
    <row r="324" spans="11:21" ht="15">
      <c r="K324">
        <f t="shared" si="39"/>
        <v>198</v>
      </c>
      <c r="L324" s="120">
        <f t="shared" si="48"/>
        <v>40676</v>
      </c>
      <c r="M324" s="118">
        <f t="shared" si="40"/>
        <v>111.218430549433</v>
      </c>
      <c r="N324" s="68"/>
      <c r="O324" s="68">
        <f t="shared" si="41"/>
        <v>2.9549142663503183</v>
      </c>
      <c r="P324" s="68">
        <f t="shared" si="42"/>
        <v>2.9108805868394145</v>
      </c>
      <c r="Q324" s="68">
        <f t="shared" si="43"/>
        <v>2.8681758674529343</v>
      </c>
      <c r="R324" s="68">
        <f t="shared" si="44"/>
        <v>2.826097657125645</v>
      </c>
      <c r="S324" s="68">
        <f t="shared" si="45"/>
        <v>2.7846367645174115</v>
      </c>
      <c r="T324" s="68">
        <f t="shared" si="46"/>
        <v>2.7424970863171523</v>
      </c>
      <c r="U324" s="68">
        <f t="shared" si="47"/>
        <v>94.13122832083012</v>
      </c>
    </row>
    <row r="325" spans="11:21" ht="15">
      <c r="K325">
        <f t="shared" si="39"/>
        <v>199</v>
      </c>
      <c r="L325" s="120">
        <f t="shared" si="48"/>
        <v>40677</v>
      </c>
      <c r="M325" s="118">
        <f t="shared" si="40"/>
        <v>111.23147688438327</v>
      </c>
      <c r="N325" s="68"/>
      <c r="O325" s="68">
        <f t="shared" si="41"/>
        <v>2.9552608887678233</v>
      </c>
      <c r="P325" s="68">
        <f t="shared" si="42"/>
        <v>2.911222043942779</v>
      </c>
      <c r="Q325" s="68">
        <f t="shared" si="43"/>
        <v>2.868512315134117</v>
      </c>
      <c r="R325" s="68">
        <f t="shared" si="44"/>
        <v>2.826429168876485</v>
      </c>
      <c r="S325" s="68">
        <f t="shared" si="45"/>
        <v>2.7849634127515697</v>
      </c>
      <c r="T325" s="68">
        <f t="shared" si="46"/>
        <v>2.7428187914105577</v>
      </c>
      <c r="U325" s="68">
        <f t="shared" si="47"/>
        <v>94.14227026349994</v>
      </c>
    </row>
    <row r="326" spans="11:21" ht="15">
      <c r="K326">
        <f t="shared" si="39"/>
        <v>200</v>
      </c>
      <c r="L326" s="120">
        <f t="shared" si="48"/>
        <v>40678</v>
      </c>
      <c r="M326" s="118">
        <f t="shared" si="40"/>
        <v>111.2445247497171</v>
      </c>
      <c r="N326" s="68"/>
      <c r="O326" s="68">
        <f t="shared" si="41"/>
        <v>2.9556075518454255</v>
      </c>
      <c r="P326" s="68">
        <f t="shared" si="42"/>
        <v>2.911563541100331</v>
      </c>
      <c r="Q326" s="68">
        <f t="shared" si="43"/>
        <v>2.8688488022818617</v>
      </c>
      <c r="R326" s="68">
        <f t="shared" si="44"/>
        <v>2.8267607195148843</v>
      </c>
      <c r="S326" s="68">
        <f t="shared" si="45"/>
        <v>2.7852900993027787</v>
      </c>
      <c r="T326" s="68">
        <f t="shared" si="46"/>
        <v>2.7431405342411654</v>
      </c>
      <c r="U326" s="68">
        <f t="shared" si="47"/>
        <v>94.15331350143066</v>
      </c>
    </row>
    <row r="327" spans="11:21" ht="15">
      <c r="K327">
        <f t="shared" si="39"/>
        <v>201</v>
      </c>
      <c r="L327" s="120">
        <f t="shared" si="48"/>
        <v>40679</v>
      </c>
      <c r="M327" s="118">
        <f t="shared" si="40"/>
        <v>111.257574145614</v>
      </c>
      <c r="N327" s="68"/>
      <c r="O327" s="68">
        <f t="shared" si="41"/>
        <v>2.9559542555878946</v>
      </c>
      <c r="P327" s="68">
        <f t="shared" si="42"/>
        <v>2.9119050783167673</v>
      </c>
      <c r="Q327" s="68">
        <f t="shared" si="43"/>
        <v>2.8691853289007994</v>
      </c>
      <c r="R327" s="68">
        <f t="shared" si="44"/>
        <v>2.8270923090454048</v>
      </c>
      <c r="S327" s="68">
        <f t="shared" si="45"/>
        <v>2.7856168241755337</v>
      </c>
      <c r="T327" s="68">
        <f t="shared" si="46"/>
        <v>2.7434623148134016</v>
      </c>
      <c r="U327" s="68">
        <f t="shared" si="47"/>
        <v>94.1643580347742</v>
      </c>
    </row>
    <row r="328" spans="11:21" ht="15">
      <c r="K328">
        <f t="shared" si="39"/>
        <v>202</v>
      </c>
      <c r="L328" s="120">
        <f t="shared" si="48"/>
        <v>40680</v>
      </c>
      <c r="M328" s="118">
        <f t="shared" si="40"/>
        <v>108.3143240722535</v>
      </c>
      <c r="N328" s="68"/>
      <c r="O328" s="68"/>
      <c r="P328" s="68">
        <f t="shared" si="42"/>
        <v>2.9122466555967867</v>
      </c>
      <c r="Q328" s="68">
        <f t="shared" si="43"/>
        <v>2.869521894995559</v>
      </c>
      <c r="R328" s="68">
        <f t="shared" si="44"/>
        <v>2.8274239374726085</v>
      </c>
      <c r="S328" s="68">
        <f t="shared" si="45"/>
        <v>2.785943587374329</v>
      </c>
      <c r="T328" s="68">
        <f t="shared" si="46"/>
        <v>2.743784133131694</v>
      </c>
      <c r="U328" s="68">
        <f t="shared" si="47"/>
        <v>94.17540386368252</v>
      </c>
    </row>
    <row r="329" spans="11:21" ht="15">
      <c r="K329">
        <f t="shared" si="39"/>
        <v>203</v>
      </c>
      <c r="L329" s="120">
        <f t="shared" si="48"/>
        <v>40681</v>
      </c>
      <c r="M329" s="118">
        <f t="shared" si="40"/>
        <v>108.32702974472866</v>
      </c>
      <c r="N329" s="68"/>
      <c r="O329" s="68"/>
      <c r="P329" s="68">
        <f t="shared" si="42"/>
        <v>2.912588272945091</v>
      </c>
      <c r="Q329" s="68">
        <f t="shared" si="43"/>
        <v>2.869858500570771</v>
      </c>
      <c r="R329" s="68">
        <f t="shared" si="44"/>
        <v>2.8277556048010584</v>
      </c>
      <c r="S329" s="68">
        <f t="shared" si="45"/>
        <v>2.7862703889036613</v>
      </c>
      <c r="T329" s="68">
        <f t="shared" si="46"/>
        <v>2.7441059892004707</v>
      </c>
      <c r="U329" s="68">
        <f t="shared" si="47"/>
        <v>94.18645098830761</v>
      </c>
    </row>
    <row r="330" spans="11:21" ht="15">
      <c r="K330">
        <f t="shared" si="39"/>
        <v>204</v>
      </c>
      <c r="L330" s="120">
        <f t="shared" si="48"/>
        <v>40682</v>
      </c>
      <c r="M330" s="118">
        <f t="shared" si="40"/>
        <v>108.33973690762637</v>
      </c>
      <c r="N330" s="68"/>
      <c r="O330" s="68"/>
      <c r="P330" s="68">
        <f t="shared" si="42"/>
        <v>2.912929930366378</v>
      </c>
      <c r="Q330" s="68">
        <f t="shared" si="43"/>
        <v>2.870195145631068</v>
      </c>
      <c r="R330" s="68">
        <f t="shared" si="44"/>
        <v>2.828087311035318</v>
      </c>
      <c r="S330" s="68">
        <f t="shared" si="45"/>
        <v>2.786597228768027</v>
      </c>
      <c r="T330" s="68">
        <f t="shared" si="46"/>
        <v>2.7444278830241595</v>
      </c>
      <c r="U330" s="68">
        <f t="shared" si="47"/>
        <v>94.19749940880142</v>
      </c>
    </row>
    <row r="331" spans="11:21" ht="15">
      <c r="K331">
        <f t="shared" si="39"/>
        <v>205</v>
      </c>
      <c r="L331" s="120">
        <f t="shared" si="48"/>
        <v>40683</v>
      </c>
      <c r="M331" s="118">
        <f t="shared" si="40"/>
        <v>108.35244556112148</v>
      </c>
      <c r="N331" s="68"/>
      <c r="O331" s="68"/>
      <c r="P331" s="68">
        <f t="shared" si="42"/>
        <v>2.9132716278653494</v>
      </c>
      <c r="Q331" s="68">
        <f t="shared" si="43"/>
        <v>2.87053183018108</v>
      </c>
      <c r="R331" s="68">
        <f t="shared" si="44"/>
        <v>2.828419056179951</v>
      </c>
      <c r="S331" s="68">
        <f t="shared" si="45"/>
        <v>2.7869241069719224</v>
      </c>
      <c r="T331" s="68">
        <f t="shared" si="46"/>
        <v>2.744749814607189</v>
      </c>
      <c r="U331" s="68">
        <f t="shared" si="47"/>
        <v>94.208549125316</v>
      </c>
    </row>
    <row r="332" spans="11:21" ht="15">
      <c r="K332">
        <f t="shared" si="39"/>
        <v>206</v>
      </c>
      <c r="L332" s="120">
        <f t="shared" si="48"/>
        <v>40684</v>
      </c>
      <c r="M332" s="118">
        <f t="shared" si="40"/>
        <v>108.36515570538886</v>
      </c>
      <c r="N332" s="68"/>
      <c r="O332" s="68"/>
      <c r="P332" s="68">
        <f t="shared" si="42"/>
        <v>2.9136133654467065</v>
      </c>
      <c r="Q332" s="68">
        <f t="shared" si="43"/>
        <v>2.8708685542254404</v>
      </c>
      <c r="R332" s="68">
        <f t="shared" si="44"/>
        <v>2.828750840239521</v>
      </c>
      <c r="S332" s="68">
        <f t="shared" si="45"/>
        <v>2.7872510235198447</v>
      </c>
      <c r="T332" s="68">
        <f t="shared" si="46"/>
        <v>2.745071783953989</v>
      </c>
      <c r="U332" s="68">
        <f t="shared" si="47"/>
        <v>94.21960013800336</v>
      </c>
    </row>
    <row r="333" spans="11:21" ht="15">
      <c r="K333">
        <f t="shared" si="39"/>
        <v>207</v>
      </c>
      <c r="L333" s="120">
        <f t="shared" si="48"/>
        <v>40685</v>
      </c>
      <c r="M333" s="118">
        <f t="shared" si="40"/>
        <v>108.37786734060333</v>
      </c>
      <c r="N333" s="68"/>
      <c r="O333" s="68"/>
      <c r="P333" s="68">
        <f t="shared" si="42"/>
        <v>2.9139551431151514</v>
      </c>
      <c r="Q333" s="68">
        <f t="shared" si="43"/>
        <v>2.8712053177687813</v>
      </c>
      <c r="R333" s="68">
        <f t="shared" si="44"/>
        <v>2.8290826632185935</v>
      </c>
      <c r="S333" s="68">
        <f t="shared" si="45"/>
        <v>2.7875779784162926</v>
      </c>
      <c r="T333" s="68">
        <f t="shared" si="46"/>
        <v>2.7453937910689894</v>
      </c>
      <c r="U333" s="68">
        <f t="shared" si="47"/>
        <v>94.23065244701553</v>
      </c>
    </row>
    <row r="334" spans="11:21" ht="15">
      <c r="K334">
        <f t="shared" si="39"/>
        <v>208</v>
      </c>
      <c r="L334" s="120">
        <f t="shared" si="48"/>
        <v>40686</v>
      </c>
      <c r="M334" s="118">
        <f t="shared" si="40"/>
        <v>108.39058046693987</v>
      </c>
      <c r="N334" s="68"/>
      <c r="O334" s="68"/>
      <c r="P334" s="68">
        <f t="shared" si="42"/>
        <v>2.9142969608753857</v>
      </c>
      <c r="Q334" s="68">
        <f t="shared" si="43"/>
        <v>2.8715421208157372</v>
      </c>
      <c r="R334" s="68">
        <f t="shared" si="44"/>
        <v>2.829414525121734</v>
      </c>
      <c r="S334" s="68">
        <f t="shared" si="45"/>
        <v>2.787904971665764</v>
      </c>
      <c r="T334" s="68">
        <f t="shared" si="46"/>
        <v>2.7457158359566196</v>
      </c>
      <c r="U334" s="68">
        <f t="shared" si="47"/>
        <v>94.24170605250463</v>
      </c>
    </row>
    <row r="335" spans="11:21" ht="15">
      <c r="K335">
        <f t="shared" si="39"/>
        <v>209</v>
      </c>
      <c r="L335" s="120">
        <f t="shared" si="48"/>
        <v>40687</v>
      </c>
      <c r="M335" s="118">
        <f t="shared" si="40"/>
        <v>108.4032950845733</v>
      </c>
      <c r="N335" s="68"/>
      <c r="O335" s="68"/>
      <c r="P335" s="68">
        <f t="shared" si="42"/>
        <v>2.9146388187321133</v>
      </c>
      <c r="Q335" s="68">
        <f t="shared" si="43"/>
        <v>2.871878963370941</v>
      </c>
      <c r="R335" s="68">
        <f t="shared" si="44"/>
        <v>2.8297464259535077</v>
      </c>
      <c r="S335" s="68">
        <f t="shared" si="45"/>
        <v>2.788232003272758</v>
      </c>
      <c r="T335" s="68">
        <f t="shared" si="46"/>
        <v>2.7460379186213113</v>
      </c>
      <c r="U335" s="68">
        <f t="shared" si="47"/>
        <v>94.25276095462267</v>
      </c>
    </row>
    <row r="336" spans="11:21" ht="15">
      <c r="K336">
        <f t="shared" si="39"/>
        <v>210</v>
      </c>
      <c r="L336" s="120">
        <f t="shared" si="48"/>
        <v>40688</v>
      </c>
      <c r="M336" s="118">
        <f t="shared" si="40"/>
        <v>108.41601119367863</v>
      </c>
      <c r="N336" s="68"/>
      <c r="O336" s="68"/>
      <c r="P336" s="68">
        <f t="shared" si="42"/>
        <v>2.9149807166900366</v>
      </c>
      <c r="Q336" s="68">
        <f t="shared" si="43"/>
        <v>2.8722158454390274</v>
      </c>
      <c r="R336" s="68">
        <f t="shared" si="44"/>
        <v>2.830078365718482</v>
      </c>
      <c r="S336" s="68">
        <f t="shared" si="45"/>
        <v>2.788559073241774</v>
      </c>
      <c r="T336" s="68">
        <f t="shared" si="46"/>
        <v>2.7463600390674965</v>
      </c>
      <c r="U336" s="68">
        <f t="shared" si="47"/>
        <v>94.26381715352181</v>
      </c>
    </row>
    <row r="337" spans="11:21" ht="15">
      <c r="K337">
        <f t="shared" si="39"/>
        <v>211</v>
      </c>
      <c r="L337" s="120">
        <f t="shared" si="48"/>
        <v>40689</v>
      </c>
      <c r="M337" s="118">
        <f t="shared" si="40"/>
        <v>108.42872879443077</v>
      </c>
      <c r="N337" s="68"/>
      <c r="O337" s="68"/>
      <c r="P337" s="68">
        <f t="shared" si="42"/>
        <v>2.91532265475386</v>
      </c>
      <c r="Q337" s="68">
        <f t="shared" si="43"/>
        <v>2.8725527670246316</v>
      </c>
      <c r="R337" s="68">
        <f t="shared" si="44"/>
        <v>2.8304103444212236</v>
      </c>
      <c r="S337" s="68">
        <f t="shared" si="45"/>
        <v>2.7888861815773125</v>
      </c>
      <c r="T337" s="68">
        <f t="shared" si="46"/>
        <v>2.7466821972996054</v>
      </c>
      <c r="U337" s="68">
        <f t="shared" si="47"/>
        <v>94.27487464935413</v>
      </c>
    </row>
    <row r="338" spans="11:21" ht="15">
      <c r="K338">
        <f t="shared" si="39"/>
        <v>212</v>
      </c>
      <c r="L338" s="120">
        <f t="shared" si="48"/>
        <v>40690</v>
      </c>
      <c r="M338" s="118">
        <f t="shared" si="40"/>
        <v>108.4414478870047</v>
      </c>
      <c r="N338" s="68"/>
      <c r="O338" s="68"/>
      <c r="P338" s="68">
        <f t="shared" si="42"/>
        <v>2.915664632928289</v>
      </c>
      <c r="Q338" s="68">
        <f t="shared" si="43"/>
        <v>2.8728897281323893</v>
      </c>
      <c r="R338" s="68">
        <f t="shared" si="44"/>
        <v>2.8307423620662995</v>
      </c>
      <c r="S338" s="68">
        <f t="shared" si="45"/>
        <v>2.789213328283873</v>
      </c>
      <c r="T338" s="68">
        <f t="shared" si="46"/>
        <v>2.747004393322072</v>
      </c>
      <c r="U338" s="68">
        <f t="shared" si="47"/>
        <v>94.28593344227178</v>
      </c>
    </row>
    <row r="339" spans="11:21" ht="15">
      <c r="K339">
        <f t="shared" si="39"/>
        <v>213</v>
      </c>
      <c r="L339" s="120">
        <f t="shared" si="48"/>
        <v>40691</v>
      </c>
      <c r="M339" s="118">
        <f t="shared" si="40"/>
        <v>108.45416847157544</v>
      </c>
      <c r="N339" s="68"/>
      <c r="O339" s="68"/>
      <c r="P339" s="68">
        <f t="shared" si="42"/>
        <v>2.9160066512180274</v>
      </c>
      <c r="Q339" s="68">
        <f t="shared" si="43"/>
        <v>2.8732267287669364</v>
      </c>
      <c r="R339" s="68">
        <f t="shared" si="44"/>
        <v>2.831074418658279</v>
      </c>
      <c r="S339" s="68">
        <f t="shared" si="45"/>
        <v>2.789540513365958</v>
      </c>
      <c r="T339" s="68">
        <f t="shared" si="46"/>
        <v>2.747326627139328</v>
      </c>
      <c r="U339" s="68">
        <f t="shared" si="47"/>
        <v>94.29699353242691</v>
      </c>
    </row>
    <row r="340" spans="11:21" ht="15">
      <c r="K340">
        <f t="shared" si="39"/>
        <v>214</v>
      </c>
      <c r="L340" s="120">
        <f t="shared" si="48"/>
        <v>40692</v>
      </c>
      <c r="M340" s="118">
        <f t="shared" si="40"/>
        <v>108.46689054831799</v>
      </c>
      <c r="N340" s="68"/>
      <c r="O340" s="68"/>
      <c r="P340" s="68">
        <f t="shared" si="42"/>
        <v>2.9163487096277816</v>
      </c>
      <c r="Q340" s="68">
        <f t="shared" si="43"/>
        <v>2.873563768932909</v>
      </c>
      <c r="R340" s="68">
        <f t="shared" si="44"/>
        <v>2.831406514201729</v>
      </c>
      <c r="S340" s="68">
        <f t="shared" si="45"/>
        <v>2.789867736828067</v>
      </c>
      <c r="T340" s="68">
        <f t="shared" si="46"/>
        <v>2.747648898755808</v>
      </c>
      <c r="U340" s="68">
        <f t="shared" si="47"/>
        <v>94.3080549199717</v>
      </c>
    </row>
    <row r="341" spans="11:21" ht="15">
      <c r="K341">
        <f t="shared" si="39"/>
        <v>215</v>
      </c>
      <c r="L341" s="120">
        <f t="shared" si="48"/>
        <v>40693</v>
      </c>
      <c r="M341" s="118">
        <f t="shared" si="40"/>
        <v>108.4796141174074</v>
      </c>
      <c r="N341" s="68"/>
      <c r="O341" s="68"/>
      <c r="P341" s="68">
        <f t="shared" si="42"/>
        <v>2.916690808162257</v>
      </c>
      <c r="Q341" s="68">
        <f t="shared" si="43"/>
        <v>2.8739008486349453</v>
      </c>
      <c r="R341" s="68">
        <f t="shared" si="44"/>
        <v>2.8317386487012204</v>
      </c>
      <c r="S341" s="68">
        <f t="shared" si="45"/>
        <v>2.7901949986747043</v>
      </c>
      <c r="T341" s="68">
        <f t="shared" si="46"/>
        <v>2.7479712081759446</v>
      </c>
      <c r="U341" s="68">
        <f t="shared" si="47"/>
        <v>94.31911760505832</v>
      </c>
    </row>
    <row r="342" spans="11:21" ht="15">
      <c r="K342">
        <f t="shared" si="39"/>
        <v>216</v>
      </c>
      <c r="L342" s="120">
        <f t="shared" si="48"/>
        <v>40694</v>
      </c>
      <c r="M342" s="118">
        <f t="shared" si="40"/>
        <v>108.49233917901869</v>
      </c>
      <c r="N342" s="68"/>
      <c r="O342" s="68"/>
      <c r="P342" s="68">
        <f t="shared" si="42"/>
        <v>2.9170329468261613</v>
      </c>
      <c r="Q342" s="68">
        <f t="shared" si="43"/>
        <v>2.8742379678776824</v>
      </c>
      <c r="R342" s="68">
        <f t="shared" si="44"/>
        <v>2.8320708221613216</v>
      </c>
      <c r="S342" s="68">
        <f t="shared" si="45"/>
        <v>2.790522298910371</v>
      </c>
      <c r="T342" s="68">
        <f t="shared" si="46"/>
        <v>2.7482935554041745</v>
      </c>
      <c r="U342" s="68">
        <f t="shared" si="47"/>
        <v>94.33018158783898</v>
      </c>
    </row>
    <row r="343" spans="11:21" ht="15">
      <c r="K343">
        <f t="shared" si="39"/>
        <v>217</v>
      </c>
      <c r="L343" s="120">
        <f t="shared" si="48"/>
        <v>40695</v>
      </c>
      <c r="M343" s="118">
        <f t="shared" si="40"/>
        <v>108.50506573332699</v>
      </c>
      <c r="N343" s="68"/>
      <c r="O343" s="68"/>
      <c r="P343" s="68">
        <f t="shared" si="42"/>
        <v>2.9173751256242015</v>
      </c>
      <c r="Q343" s="68">
        <f t="shared" si="43"/>
        <v>2.874575126665759</v>
      </c>
      <c r="R343" s="68">
        <f t="shared" si="44"/>
        <v>2.8324030345866036</v>
      </c>
      <c r="S343" s="68">
        <f t="shared" si="45"/>
        <v>2.790849637539571</v>
      </c>
      <c r="T343" s="68">
        <f t="shared" si="46"/>
        <v>2.748615940444931</v>
      </c>
      <c r="U343" s="68">
        <f t="shared" si="47"/>
        <v>94.34124686846592</v>
      </c>
    </row>
    <row r="344" spans="11:21" ht="15">
      <c r="K344">
        <f t="shared" si="39"/>
        <v>218</v>
      </c>
      <c r="L344" s="120">
        <f t="shared" si="48"/>
        <v>40696</v>
      </c>
      <c r="M344" s="118">
        <f t="shared" si="40"/>
        <v>108.51779378050733</v>
      </c>
      <c r="N344" s="68"/>
      <c r="O344" s="68"/>
      <c r="P344" s="68">
        <f t="shared" si="42"/>
        <v>2.917717344561085</v>
      </c>
      <c r="Q344" s="68">
        <f t="shared" si="43"/>
        <v>2.8749123250038124</v>
      </c>
      <c r="R344" s="68">
        <f t="shared" si="44"/>
        <v>2.8327352859816366</v>
      </c>
      <c r="S344" s="68">
        <f t="shared" si="45"/>
        <v>2.7911770145668084</v>
      </c>
      <c r="T344" s="68">
        <f t="shared" si="46"/>
        <v>2.7489383633026496</v>
      </c>
      <c r="U344" s="68">
        <f t="shared" si="47"/>
        <v>94.35231344709135</v>
      </c>
    </row>
    <row r="345" spans="11:21" ht="15">
      <c r="K345">
        <f t="shared" si="39"/>
        <v>219</v>
      </c>
      <c r="L345" s="120">
        <f t="shared" si="48"/>
        <v>40697</v>
      </c>
      <c r="M345" s="118">
        <f t="shared" si="40"/>
        <v>108.53052332073494</v>
      </c>
      <c r="N345" s="68"/>
      <c r="O345" s="68"/>
      <c r="P345" s="68">
        <f t="shared" si="42"/>
        <v>2.918059603641522</v>
      </c>
      <c r="Q345" s="68">
        <f t="shared" si="43"/>
        <v>2.875249562896484</v>
      </c>
      <c r="R345" s="68">
        <f t="shared" si="44"/>
        <v>2.833067576350992</v>
      </c>
      <c r="S345" s="68">
        <f t="shared" si="45"/>
        <v>2.7915044299965865</v>
      </c>
      <c r="T345" s="68">
        <f t="shared" si="46"/>
        <v>2.749260823981767</v>
      </c>
      <c r="U345" s="68">
        <f t="shared" si="47"/>
        <v>94.36338132386759</v>
      </c>
    </row>
    <row r="346" spans="11:21" ht="15">
      <c r="K346">
        <f t="shared" si="39"/>
        <v>220</v>
      </c>
      <c r="L346" s="120">
        <f t="shared" si="48"/>
        <v>40698</v>
      </c>
      <c r="M346" s="118">
        <f t="shared" si="40"/>
        <v>108.54325435418485</v>
      </c>
      <c r="N346" s="68"/>
      <c r="O346" s="68"/>
      <c r="P346" s="68">
        <f t="shared" si="42"/>
        <v>2.9184019028702193</v>
      </c>
      <c r="Q346" s="68">
        <f t="shared" si="43"/>
        <v>2.875586840348413</v>
      </c>
      <c r="R346" s="68">
        <f t="shared" si="44"/>
        <v>2.833399905699242</v>
      </c>
      <c r="S346" s="68">
        <f t="shared" si="45"/>
        <v>2.79183188383341</v>
      </c>
      <c r="T346" s="68">
        <f t="shared" si="46"/>
        <v>2.7495833224867194</v>
      </c>
      <c r="U346" s="68">
        <f t="shared" si="47"/>
        <v>94.37445049894686</v>
      </c>
    </row>
    <row r="347" spans="11:21" ht="15">
      <c r="K347">
        <f t="shared" si="39"/>
        <v>221</v>
      </c>
      <c r="L347" s="120">
        <f t="shared" si="48"/>
        <v>40699</v>
      </c>
      <c r="M347" s="118">
        <f t="shared" si="40"/>
        <v>108.55598688103228</v>
      </c>
      <c r="N347" s="68"/>
      <c r="O347" s="68"/>
      <c r="P347" s="68">
        <f t="shared" si="42"/>
        <v>2.9187442422518877</v>
      </c>
      <c r="Q347" s="68">
        <f t="shared" si="43"/>
        <v>2.8759241573642393</v>
      </c>
      <c r="R347" s="68">
        <f t="shared" si="44"/>
        <v>2.8337322740309587</v>
      </c>
      <c r="S347" s="68">
        <f t="shared" si="45"/>
        <v>2.792159376081786</v>
      </c>
      <c r="T347" s="68">
        <f t="shared" si="46"/>
        <v>2.7499058588219447</v>
      </c>
      <c r="U347" s="68">
        <f t="shared" si="47"/>
        <v>94.38552097248146</v>
      </c>
    </row>
    <row r="348" spans="11:21" ht="15">
      <c r="K348">
        <f t="shared" si="39"/>
        <v>222</v>
      </c>
      <c r="L348" s="120">
        <f t="shared" si="48"/>
        <v>40700</v>
      </c>
      <c r="M348" s="118">
        <f t="shared" si="40"/>
        <v>108.5687209014524</v>
      </c>
      <c r="N348" s="68"/>
      <c r="O348" s="68"/>
      <c r="P348" s="68">
        <f t="shared" si="42"/>
        <v>2.9190866217912372</v>
      </c>
      <c r="Q348" s="68">
        <f t="shared" si="43"/>
        <v>2.8762615139486045</v>
      </c>
      <c r="R348" s="68">
        <f t="shared" si="44"/>
        <v>2.8340646813507155</v>
      </c>
      <c r="S348" s="68">
        <f t="shared" si="45"/>
        <v>2.792486906746218</v>
      </c>
      <c r="T348" s="68">
        <f t="shared" si="46"/>
        <v>2.75022843299188</v>
      </c>
      <c r="U348" s="68">
        <f t="shared" si="47"/>
        <v>94.39659274462375</v>
      </c>
    </row>
    <row r="349" spans="11:21" ht="15">
      <c r="K349">
        <f t="shared" si="39"/>
        <v>223</v>
      </c>
      <c r="L349" s="120">
        <f t="shared" si="48"/>
        <v>40701</v>
      </c>
      <c r="M349" s="118">
        <f t="shared" si="40"/>
        <v>108.5814564156204</v>
      </c>
      <c r="N349" s="68"/>
      <c r="O349" s="68"/>
      <c r="P349" s="68">
        <f t="shared" si="42"/>
        <v>2.919429041492978</v>
      </c>
      <c r="Q349" s="68">
        <f t="shared" si="43"/>
        <v>2.87659891010615</v>
      </c>
      <c r="R349" s="68">
        <f t="shared" si="44"/>
        <v>2.834397127663085</v>
      </c>
      <c r="S349" s="68">
        <f t="shared" si="45"/>
        <v>2.7928144758312134</v>
      </c>
      <c r="T349" s="68">
        <f t="shared" si="46"/>
        <v>2.750551045000963</v>
      </c>
      <c r="U349" s="68">
        <f t="shared" si="47"/>
        <v>94.407665815526</v>
      </c>
    </row>
    <row r="350" spans="11:21" ht="15">
      <c r="K350">
        <f t="shared" si="39"/>
        <v>224</v>
      </c>
      <c r="L350" s="120">
        <f t="shared" si="48"/>
        <v>40702</v>
      </c>
      <c r="M350" s="118">
        <f t="shared" si="40"/>
        <v>108.5941934237115</v>
      </c>
      <c r="N350" s="68"/>
      <c r="O350" s="68"/>
      <c r="P350" s="68">
        <f t="shared" si="42"/>
        <v>2.9197715013618213</v>
      </c>
      <c r="Q350" s="68">
        <f t="shared" si="43"/>
        <v>2.876936345841518</v>
      </c>
      <c r="R350" s="68">
        <f t="shared" si="44"/>
        <v>2.834729612972642</v>
      </c>
      <c r="S350" s="68">
        <f t="shared" si="45"/>
        <v>2.7931420833412792</v>
      </c>
      <c r="T350" s="68">
        <f t="shared" si="46"/>
        <v>2.750873694853633</v>
      </c>
      <c r="U350" s="68">
        <f t="shared" si="47"/>
        <v>94.41874018534061</v>
      </c>
    </row>
    <row r="351" spans="11:21" ht="15">
      <c r="K351">
        <f t="shared" si="39"/>
        <v>225</v>
      </c>
      <c r="L351" s="120">
        <f t="shared" si="48"/>
        <v>40703</v>
      </c>
      <c r="M351" s="118">
        <f t="shared" si="40"/>
        <v>108.60693192590098</v>
      </c>
      <c r="N351" s="68"/>
      <c r="O351" s="68"/>
      <c r="P351" s="68">
        <f t="shared" si="42"/>
        <v>2.920114001402479</v>
      </c>
      <c r="Q351" s="68">
        <f t="shared" si="43"/>
        <v>2.87727382115935</v>
      </c>
      <c r="R351" s="68">
        <f t="shared" si="44"/>
        <v>2.83506213728396</v>
      </c>
      <c r="S351" s="68">
        <f t="shared" si="45"/>
        <v>2.7934697292809227</v>
      </c>
      <c r="T351" s="68">
        <f t="shared" si="46"/>
        <v>2.751196382554329</v>
      </c>
      <c r="U351" s="68">
        <f t="shared" si="47"/>
        <v>94.42981585421994</v>
      </c>
    </row>
    <row r="352" spans="11:21" ht="15">
      <c r="K352">
        <f t="shared" si="39"/>
        <v>226</v>
      </c>
      <c r="L352" s="120">
        <f t="shared" si="48"/>
        <v>40704</v>
      </c>
      <c r="M352" s="118">
        <f t="shared" si="40"/>
        <v>108.61967192236403</v>
      </c>
      <c r="N352" s="68"/>
      <c r="O352" s="68"/>
      <c r="P352" s="68">
        <f t="shared" si="42"/>
        <v>2.9204565416196635</v>
      </c>
      <c r="Q352" s="68">
        <f t="shared" si="43"/>
        <v>2.8776113360642914</v>
      </c>
      <c r="R352" s="68">
        <f t="shared" si="44"/>
        <v>2.835394700601615</v>
      </c>
      <c r="S352" s="68">
        <f t="shared" si="45"/>
        <v>2.7937974136546515</v>
      </c>
      <c r="T352" s="68">
        <f t="shared" si="46"/>
        <v>2.751519108107491</v>
      </c>
      <c r="U352" s="68">
        <f t="shared" si="47"/>
        <v>94.44089282231633</v>
      </c>
    </row>
    <row r="353" spans="11:21" ht="15">
      <c r="K353">
        <f t="shared" si="39"/>
        <v>227</v>
      </c>
      <c r="L353" s="120">
        <f t="shared" si="48"/>
        <v>40705</v>
      </c>
      <c r="M353" s="118">
        <f t="shared" si="40"/>
        <v>108.63241341327601</v>
      </c>
      <c r="N353" s="68"/>
      <c r="O353" s="68"/>
      <c r="P353" s="68">
        <f t="shared" si="42"/>
        <v>2.9207991220180873</v>
      </c>
      <c r="Q353" s="68">
        <f t="shared" si="43"/>
        <v>2.8779488905609836</v>
      </c>
      <c r="R353" s="68">
        <f t="shared" si="44"/>
        <v>2.835727302930182</v>
      </c>
      <c r="S353" s="68">
        <f t="shared" si="45"/>
        <v>2.794125136466974</v>
      </c>
      <c r="T353" s="68">
        <f t="shared" si="46"/>
        <v>2.751841871517558</v>
      </c>
      <c r="U353" s="68">
        <f t="shared" si="47"/>
        <v>94.45197108978223</v>
      </c>
    </row>
    <row r="354" spans="11:21" ht="15">
      <c r="K354">
        <f aca="true" t="shared" si="49" ref="K354:K417">K353+1</f>
        <v>228</v>
      </c>
      <c r="L354" s="120">
        <f t="shared" si="48"/>
        <v>40706</v>
      </c>
      <c r="M354" s="118">
        <f aca="true" t="shared" si="50" ref="M354:M417">SUM(N354:U354)</f>
        <v>108.64515639881219</v>
      </c>
      <c r="N354" s="68"/>
      <c r="O354" s="68"/>
      <c r="P354" s="68">
        <f t="shared" si="42"/>
        <v>2.921141742602465</v>
      </c>
      <c r="Q354" s="68">
        <f t="shared" si="43"/>
        <v>2.8782864846540726</v>
      </c>
      <c r="R354" s="68">
        <f t="shared" si="44"/>
        <v>2.836059944274238</v>
      </c>
      <c r="S354" s="68">
        <f t="shared" si="45"/>
        <v>2.7944528977224</v>
      </c>
      <c r="T354" s="68">
        <f t="shared" si="46"/>
        <v>2.7521646727889726</v>
      </c>
      <c r="U354" s="68">
        <f t="shared" si="47"/>
        <v>94.46305065677005</v>
      </c>
    </row>
    <row r="355" spans="11:21" ht="15">
      <c r="K355">
        <f t="shared" si="49"/>
        <v>229</v>
      </c>
      <c r="L355" s="120">
        <f t="shared" si="48"/>
        <v>40707</v>
      </c>
      <c r="M355" s="118">
        <f t="shared" si="50"/>
        <v>108.65790087914793</v>
      </c>
      <c r="N355" s="68"/>
      <c r="O355" s="68"/>
      <c r="P355" s="68">
        <f t="shared" si="42"/>
        <v>2.921484403377509</v>
      </c>
      <c r="Q355" s="68">
        <f t="shared" si="43"/>
        <v>2.8786241183482018</v>
      </c>
      <c r="R355" s="68">
        <f t="shared" si="44"/>
        <v>2.836392624638358</v>
      </c>
      <c r="S355" s="68">
        <f t="shared" si="45"/>
        <v>2.7947806974254386</v>
      </c>
      <c r="T355" s="68">
        <f t="shared" si="46"/>
        <v>2.7524875119261747</v>
      </c>
      <c r="U355" s="68">
        <f t="shared" si="47"/>
        <v>94.47413152343225</v>
      </c>
    </row>
    <row r="356" spans="11:21" ht="15">
      <c r="K356">
        <f t="shared" si="49"/>
        <v>230</v>
      </c>
      <c r="L356" s="120">
        <f t="shared" si="48"/>
        <v>40708</v>
      </c>
      <c r="M356" s="118">
        <f t="shared" si="50"/>
        <v>108.67064685445851</v>
      </c>
      <c r="N356" s="68"/>
      <c r="O356" s="68"/>
      <c r="P356" s="68">
        <f t="shared" si="42"/>
        <v>2.9218271043479347</v>
      </c>
      <c r="Q356" s="68">
        <f t="shared" si="43"/>
        <v>2.8789617916480177</v>
      </c>
      <c r="R356" s="68">
        <f t="shared" si="44"/>
        <v>2.8367253440271214</v>
      </c>
      <c r="S356" s="68">
        <f t="shared" si="45"/>
        <v>2.7951085355805994</v>
      </c>
      <c r="T356" s="68">
        <f t="shared" si="46"/>
        <v>2.7528103889336064</v>
      </c>
      <c r="U356" s="68">
        <f t="shared" si="47"/>
        <v>94.48521368992122</v>
      </c>
    </row>
    <row r="357" spans="11:21" ht="15">
      <c r="K357">
        <f t="shared" si="49"/>
        <v>231</v>
      </c>
      <c r="L357" s="120">
        <f t="shared" si="48"/>
        <v>40709</v>
      </c>
      <c r="M357" s="118">
        <f t="shared" si="50"/>
        <v>108.68339432491933</v>
      </c>
      <c r="N357" s="68"/>
      <c r="O357" s="68"/>
      <c r="P357" s="68">
        <f t="shared" si="42"/>
        <v>2.9221698455184573</v>
      </c>
      <c r="Q357" s="68">
        <f t="shared" si="43"/>
        <v>2.879299504558165</v>
      </c>
      <c r="R357" s="68">
        <f t="shared" si="44"/>
        <v>2.8370581024451043</v>
      </c>
      <c r="S357" s="68">
        <f t="shared" si="45"/>
        <v>2.7954364121923936</v>
      </c>
      <c r="T357" s="68">
        <f t="shared" si="46"/>
        <v>2.753133303815711</v>
      </c>
      <c r="U357" s="68">
        <f t="shared" si="47"/>
        <v>94.4962971563895</v>
      </c>
    </row>
    <row r="358" spans="11:21" ht="15">
      <c r="K358">
        <f t="shared" si="49"/>
        <v>232</v>
      </c>
      <c r="L358" s="120">
        <f t="shared" si="48"/>
        <v>40710</v>
      </c>
      <c r="M358" s="118">
        <f t="shared" si="50"/>
        <v>108.69614329070578</v>
      </c>
      <c r="N358" s="68"/>
      <c r="O358" s="68"/>
      <c r="P358" s="68">
        <f t="shared" si="42"/>
        <v>2.9225126268937918</v>
      </c>
      <c r="Q358" s="68">
        <f t="shared" si="43"/>
        <v>2.8796372570832918</v>
      </c>
      <c r="R358" s="68">
        <f t="shared" si="44"/>
        <v>2.837390899896885</v>
      </c>
      <c r="S358" s="68">
        <f t="shared" si="45"/>
        <v>2.795764327265332</v>
      </c>
      <c r="T358" s="68">
        <f t="shared" si="46"/>
        <v>2.75345625657693</v>
      </c>
      <c r="U358" s="68">
        <f t="shared" si="47"/>
        <v>94.50738192298955</v>
      </c>
    </row>
    <row r="359" spans="11:21" ht="15">
      <c r="K359">
        <f t="shared" si="49"/>
        <v>233</v>
      </c>
      <c r="L359" s="120">
        <f t="shared" si="48"/>
        <v>40711</v>
      </c>
      <c r="M359" s="118">
        <f t="shared" si="50"/>
        <v>108.70889375199327</v>
      </c>
      <c r="N359" s="68"/>
      <c r="O359" s="68"/>
      <c r="P359" s="68">
        <f t="shared" si="42"/>
        <v>2.9228554484786544</v>
      </c>
      <c r="Q359" s="68">
        <f t="shared" si="43"/>
        <v>2.879975049228044</v>
      </c>
      <c r="R359" s="68">
        <f t="shared" si="44"/>
        <v>2.8377237363870433</v>
      </c>
      <c r="S359" s="68">
        <f t="shared" si="45"/>
        <v>2.796092280803926</v>
      </c>
      <c r="T359" s="68">
        <f t="shared" si="46"/>
        <v>2.753779247221707</v>
      </c>
      <c r="U359" s="68">
        <f t="shared" si="47"/>
        <v>94.5184679898739</v>
      </c>
    </row>
    <row r="360" spans="11:21" ht="15">
      <c r="K360">
        <f t="shared" si="49"/>
        <v>234</v>
      </c>
      <c r="L360" s="120">
        <f t="shared" si="48"/>
        <v>40712</v>
      </c>
      <c r="M360" s="118">
        <f t="shared" si="50"/>
        <v>108.7216457089572</v>
      </c>
      <c r="N360" s="68"/>
      <c r="O360" s="68"/>
      <c r="P360" s="68">
        <f t="shared" si="42"/>
        <v>2.9231983102777623</v>
      </c>
      <c r="Q360" s="68">
        <f t="shared" si="43"/>
        <v>2.880312880997069</v>
      </c>
      <c r="R360" s="68">
        <f t="shared" si="44"/>
        <v>2.838056611920158</v>
      </c>
      <c r="S360" s="68">
        <f t="shared" si="45"/>
        <v>2.7964202728126883</v>
      </c>
      <c r="T360" s="68">
        <f t="shared" si="46"/>
        <v>2.7541022757544864</v>
      </c>
      <c r="U360" s="68">
        <f t="shared" si="47"/>
        <v>94.52955535719504</v>
      </c>
    </row>
    <row r="361" spans="11:21" ht="15">
      <c r="K361">
        <f t="shared" si="49"/>
        <v>235</v>
      </c>
      <c r="L361" s="120">
        <f t="shared" si="48"/>
        <v>40713</v>
      </c>
      <c r="M361" s="118">
        <f t="shared" si="50"/>
        <v>108.73439916177307</v>
      </c>
      <c r="N361" s="68"/>
      <c r="O361" s="68"/>
      <c r="P361" s="68">
        <f t="shared" si="42"/>
        <v>2.9235412122958326</v>
      </c>
      <c r="Q361" s="68">
        <f t="shared" si="43"/>
        <v>2.8806507523950153</v>
      </c>
      <c r="R361" s="68">
        <f t="shared" si="44"/>
        <v>2.838389526500808</v>
      </c>
      <c r="S361" s="68">
        <f t="shared" si="45"/>
        <v>2.7967483032961313</v>
      </c>
      <c r="T361" s="68">
        <f t="shared" si="46"/>
        <v>2.7544253421797125</v>
      </c>
      <c r="U361" s="68">
        <f t="shared" si="47"/>
        <v>94.54064402510558</v>
      </c>
    </row>
    <row r="362" spans="11:21" ht="15">
      <c r="K362">
        <f t="shared" si="49"/>
        <v>236</v>
      </c>
      <c r="L362" s="120">
        <f t="shared" si="48"/>
        <v>40714</v>
      </c>
      <c r="M362" s="118">
        <f t="shared" si="50"/>
        <v>108.74715411061631</v>
      </c>
      <c r="N362" s="68"/>
      <c r="O362" s="68"/>
      <c r="P362" s="68">
        <f t="shared" si="42"/>
        <v>2.9238841545375833</v>
      </c>
      <c r="Q362" s="68">
        <f t="shared" si="43"/>
        <v>2.8809886634265314</v>
      </c>
      <c r="R362" s="68">
        <f t="shared" si="44"/>
        <v>2.8387224801335758</v>
      </c>
      <c r="S362" s="68">
        <f t="shared" si="45"/>
        <v>2.797076372258768</v>
      </c>
      <c r="T362" s="68">
        <f t="shared" si="46"/>
        <v>2.7547484465018304</v>
      </c>
      <c r="U362" s="68">
        <f t="shared" si="47"/>
        <v>94.55173399375802</v>
      </c>
    </row>
    <row r="363" spans="11:21" ht="15">
      <c r="K363">
        <f t="shared" si="49"/>
        <v>237</v>
      </c>
      <c r="L363" s="120">
        <f t="shared" si="48"/>
        <v>40715</v>
      </c>
      <c r="M363" s="118">
        <f t="shared" si="50"/>
        <v>108.75991055566242</v>
      </c>
      <c r="N363" s="68"/>
      <c r="O363" s="68"/>
      <c r="P363" s="68">
        <f t="shared" si="42"/>
        <v>2.924227137007732</v>
      </c>
      <c r="Q363" s="68">
        <f t="shared" si="43"/>
        <v>2.8813266140962663</v>
      </c>
      <c r="R363" s="68">
        <f t="shared" si="44"/>
        <v>2.839055472823041</v>
      </c>
      <c r="S363" s="68">
        <f t="shared" si="45"/>
        <v>2.7974044797051127</v>
      </c>
      <c r="T363" s="68">
        <f t="shared" si="46"/>
        <v>2.7550715887252846</v>
      </c>
      <c r="U363" s="68">
        <f t="shared" si="47"/>
        <v>94.56282526330497</v>
      </c>
    </row>
    <row r="364" spans="11:21" ht="15">
      <c r="K364">
        <f t="shared" si="49"/>
        <v>238</v>
      </c>
      <c r="L364" s="120">
        <f t="shared" si="48"/>
        <v>40716</v>
      </c>
      <c r="M364" s="118">
        <f t="shared" si="50"/>
        <v>108.7726684970869</v>
      </c>
      <c r="N364" s="68"/>
      <c r="O364" s="68"/>
      <c r="P364" s="68">
        <f t="shared" si="42"/>
        <v>2.9245701597109988</v>
      </c>
      <c r="Q364" s="68">
        <f t="shared" si="43"/>
        <v>2.8816646044088703</v>
      </c>
      <c r="R364" s="68">
        <f t="shared" si="44"/>
        <v>2.839388504573785</v>
      </c>
      <c r="S364" s="68">
        <f t="shared" si="45"/>
        <v>2.7977326256396795</v>
      </c>
      <c r="T364" s="68">
        <f t="shared" si="46"/>
        <v>2.7553947688545217</v>
      </c>
      <c r="U364" s="68">
        <f t="shared" si="47"/>
        <v>94.57391783389905</v>
      </c>
    </row>
    <row r="365" spans="11:21" ht="15">
      <c r="K365">
        <f t="shared" si="49"/>
        <v>239</v>
      </c>
      <c r="L365" s="120">
        <f t="shared" si="48"/>
        <v>40717</v>
      </c>
      <c r="M365" s="118">
        <f t="shared" si="50"/>
        <v>108.78542793506531</v>
      </c>
      <c r="N365" s="68"/>
      <c r="O365" s="68"/>
      <c r="P365" s="68">
        <f t="shared" si="42"/>
        <v>2.9249132226521026</v>
      </c>
      <c r="Q365" s="68">
        <f t="shared" si="43"/>
        <v>2.882002634368993</v>
      </c>
      <c r="R365" s="68">
        <f t="shared" si="44"/>
        <v>2.839721575390391</v>
      </c>
      <c r="S365" s="68">
        <f t="shared" si="45"/>
        <v>2.798060810066983</v>
      </c>
      <c r="T365" s="68">
        <f t="shared" si="46"/>
        <v>2.755717986893989</v>
      </c>
      <c r="U365" s="68">
        <f t="shared" si="47"/>
        <v>94.58501170569285</v>
      </c>
    </row>
    <row r="366" spans="11:21" ht="15">
      <c r="K366">
        <f t="shared" si="49"/>
        <v>240</v>
      </c>
      <c r="L366" s="120">
        <f t="shared" si="48"/>
        <v>40718</v>
      </c>
      <c r="M366" s="118">
        <f t="shared" si="50"/>
        <v>108.79818886977316</v>
      </c>
      <c r="N366" s="68"/>
      <c r="O366" s="68"/>
      <c r="P366" s="68">
        <f t="shared" si="42"/>
        <v>2.9252563258357633</v>
      </c>
      <c r="Q366" s="68">
        <f t="shared" si="43"/>
        <v>2.882340703981285</v>
      </c>
      <c r="R366" s="68">
        <f t="shared" si="44"/>
        <v>2.84005468527744</v>
      </c>
      <c r="S366" s="68">
        <f t="shared" si="45"/>
        <v>2.7983890329915386</v>
      </c>
      <c r="T366" s="68">
        <f t="shared" si="46"/>
        <v>2.7560412428481316</v>
      </c>
      <c r="U366" s="68">
        <f t="shared" si="47"/>
        <v>94.596106878839</v>
      </c>
    </row>
    <row r="367" spans="11:21" ht="15">
      <c r="K367">
        <f t="shared" si="49"/>
        <v>241</v>
      </c>
      <c r="L367" s="120">
        <f t="shared" si="48"/>
        <v>40719</v>
      </c>
      <c r="M367" s="118">
        <f t="shared" si="50"/>
        <v>108.81095130138605</v>
      </c>
      <c r="N367" s="68"/>
      <c r="O367" s="68"/>
      <c r="P367" s="68">
        <f t="shared" si="42"/>
        <v>2.925599469266701</v>
      </c>
      <c r="Q367" s="68">
        <f t="shared" si="43"/>
        <v>2.882678813250398</v>
      </c>
      <c r="R367" s="68">
        <f t="shared" si="44"/>
        <v>2.8403878342395164</v>
      </c>
      <c r="S367" s="68">
        <f t="shared" si="45"/>
        <v>2.798717294417862</v>
      </c>
      <c r="T367" s="68">
        <f t="shared" si="46"/>
        <v>2.756364536721399</v>
      </c>
      <c r="U367" s="68">
        <f t="shared" si="47"/>
        <v>94.60720335349018</v>
      </c>
    </row>
    <row r="368" spans="11:21" ht="15">
      <c r="K368">
        <f t="shared" si="49"/>
        <v>242</v>
      </c>
      <c r="L368" s="120">
        <f t="shared" si="48"/>
        <v>40720</v>
      </c>
      <c r="M368" s="118">
        <f t="shared" si="50"/>
        <v>108.82371523007957</v>
      </c>
      <c r="N368" s="68"/>
      <c r="O368" s="68"/>
      <c r="P368" s="68">
        <f t="shared" si="42"/>
        <v>2.925942652949639</v>
      </c>
      <c r="Q368" s="68">
        <f t="shared" si="43"/>
        <v>2.8830169621809847</v>
      </c>
      <c r="R368" s="68">
        <f t="shared" si="44"/>
        <v>2.840721022281203</v>
      </c>
      <c r="S368" s="68">
        <f t="shared" si="45"/>
        <v>2.79904559435047</v>
      </c>
      <c r="T368" s="68">
        <f t="shared" si="46"/>
        <v>2.7566878685182377</v>
      </c>
      <c r="U368" s="68">
        <f t="shared" si="47"/>
        <v>94.61830112979904</v>
      </c>
    </row>
    <row r="369" spans="11:21" ht="15">
      <c r="K369">
        <f t="shared" si="49"/>
        <v>243</v>
      </c>
      <c r="L369" s="120">
        <f t="shared" si="48"/>
        <v>40721</v>
      </c>
      <c r="M369" s="118">
        <f t="shared" si="50"/>
        <v>108.83648065602931</v>
      </c>
      <c r="N369" s="68"/>
      <c r="O369" s="68"/>
      <c r="P369" s="68">
        <f t="shared" si="42"/>
        <v>2.9262858768892963</v>
      </c>
      <c r="Q369" s="68">
        <f t="shared" si="43"/>
        <v>2.8833551507776964</v>
      </c>
      <c r="R369" s="68">
        <f t="shared" si="44"/>
        <v>2.8410542494070836</v>
      </c>
      <c r="S369" s="68">
        <f t="shared" si="45"/>
        <v>2.7993739327938796</v>
      </c>
      <c r="T369" s="68">
        <f t="shared" si="46"/>
        <v>2.7570112382430976</v>
      </c>
      <c r="U369" s="68">
        <f t="shared" si="47"/>
        <v>94.62940020791825</v>
      </c>
    </row>
    <row r="370" spans="11:21" ht="15">
      <c r="K370">
        <f t="shared" si="49"/>
        <v>244</v>
      </c>
      <c r="L370" s="120">
        <f t="shared" si="48"/>
        <v>40722</v>
      </c>
      <c r="M370" s="118">
        <f t="shared" si="50"/>
        <v>108.84924757941094</v>
      </c>
      <c r="N370" s="68"/>
      <c r="O370" s="68"/>
      <c r="P370" s="68">
        <f t="shared" si="42"/>
        <v>2.926629141090397</v>
      </c>
      <c r="Q370" s="68">
        <f t="shared" si="43"/>
        <v>2.8836933790451864</v>
      </c>
      <c r="R370" s="68">
        <f t="shared" si="44"/>
        <v>2.8413875156217445</v>
      </c>
      <c r="S370" s="68">
        <f t="shared" si="45"/>
        <v>2.799702309752608</v>
      </c>
      <c r="T370" s="68">
        <f t="shared" si="46"/>
        <v>2.757334645900427</v>
      </c>
      <c r="U370" s="68">
        <f t="shared" si="47"/>
        <v>94.64050058800058</v>
      </c>
    </row>
    <row r="371" spans="11:21" ht="15">
      <c r="K371">
        <f t="shared" si="49"/>
        <v>245</v>
      </c>
      <c r="L371" s="120">
        <f t="shared" si="48"/>
        <v>40723</v>
      </c>
      <c r="M371" s="118">
        <f t="shared" si="50"/>
        <v>108.8620160004001</v>
      </c>
      <c r="N371" s="68"/>
      <c r="O371" s="68"/>
      <c r="P371" s="68">
        <f t="shared" si="42"/>
        <v>2.9269724455576633</v>
      </c>
      <c r="Q371" s="68">
        <f t="shared" si="43"/>
        <v>2.884031646988108</v>
      </c>
      <c r="R371" s="68">
        <f t="shared" si="44"/>
        <v>2.8417208209297695</v>
      </c>
      <c r="S371" s="68">
        <f t="shared" si="45"/>
        <v>2.800030725231173</v>
      </c>
      <c r="T371" s="68">
        <f t="shared" si="46"/>
        <v>2.7576580914946756</v>
      </c>
      <c r="U371" s="68">
        <f t="shared" si="47"/>
        <v>94.65160227019871</v>
      </c>
    </row>
    <row r="372" spans="11:21" ht="15">
      <c r="K372">
        <f t="shared" si="49"/>
        <v>246</v>
      </c>
      <c r="L372" s="120">
        <f t="shared" si="48"/>
        <v>40724</v>
      </c>
      <c r="M372" s="118">
        <f t="shared" si="50"/>
        <v>108.87478591917245</v>
      </c>
      <c r="N372" s="68"/>
      <c r="O372" s="68"/>
      <c r="P372" s="68">
        <f t="shared" si="42"/>
        <v>2.9273157902958187</v>
      </c>
      <c r="Q372" s="68">
        <f t="shared" si="43"/>
        <v>2.8843699546111163</v>
      </c>
      <c r="R372" s="68">
        <f t="shared" si="44"/>
        <v>2.842054165335746</v>
      </c>
      <c r="S372" s="68">
        <f t="shared" si="45"/>
        <v>2.800359179234093</v>
      </c>
      <c r="T372" s="68">
        <f t="shared" si="46"/>
        <v>2.7579815750302936</v>
      </c>
      <c r="U372" s="68">
        <f t="shared" si="47"/>
        <v>94.66270525466538</v>
      </c>
    </row>
    <row r="373" spans="11:21" ht="15">
      <c r="K373">
        <f t="shared" si="49"/>
        <v>247</v>
      </c>
      <c r="L373" s="120">
        <f t="shared" si="48"/>
        <v>40725</v>
      </c>
      <c r="M373" s="118">
        <f t="shared" si="50"/>
        <v>108.88755733590371</v>
      </c>
      <c r="N373" s="68"/>
      <c r="O373" s="68"/>
      <c r="P373" s="68">
        <f t="shared" si="42"/>
        <v>2.9276591753095866</v>
      </c>
      <c r="Q373" s="68">
        <f t="shared" si="43"/>
        <v>2.8847083019188644</v>
      </c>
      <c r="R373" s="68">
        <f t="shared" si="44"/>
        <v>2.8423875488442585</v>
      </c>
      <c r="S373" s="68">
        <f t="shared" si="45"/>
        <v>2.8006876717658873</v>
      </c>
      <c r="T373" s="68">
        <f t="shared" si="46"/>
        <v>2.758305096511732</v>
      </c>
      <c r="U373" s="68">
        <f t="shared" si="47"/>
        <v>94.67380954155338</v>
      </c>
    </row>
    <row r="374" spans="11:21" ht="15">
      <c r="K374">
        <f t="shared" si="49"/>
        <v>248</v>
      </c>
      <c r="L374" s="120">
        <f t="shared" si="48"/>
        <v>40726</v>
      </c>
      <c r="M374" s="118">
        <f t="shared" si="50"/>
        <v>108.90033025076957</v>
      </c>
      <c r="N374" s="68"/>
      <c r="O374" s="68"/>
      <c r="P374" s="68">
        <f t="shared" si="42"/>
        <v>2.928002600603692</v>
      </c>
      <c r="Q374" s="68">
        <f t="shared" si="43"/>
        <v>2.885046688916009</v>
      </c>
      <c r="R374" s="68">
        <f t="shared" si="44"/>
        <v>2.8427209714598947</v>
      </c>
      <c r="S374" s="68">
        <f t="shared" si="45"/>
        <v>2.8010162028310766</v>
      </c>
      <c r="T374" s="68">
        <f t="shared" si="46"/>
        <v>2.7586286559434416</v>
      </c>
      <c r="U374" s="68">
        <f t="shared" si="47"/>
        <v>94.68491513101546</v>
      </c>
    </row>
    <row r="375" spans="11:21" ht="15">
      <c r="K375">
        <f t="shared" si="49"/>
        <v>249</v>
      </c>
      <c r="L375" s="120">
        <f t="shared" si="48"/>
        <v>40727</v>
      </c>
      <c r="M375" s="118">
        <f t="shared" si="50"/>
        <v>108.91310466394579</v>
      </c>
      <c r="N375" s="68"/>
      <c r="O375" s="68"/>
      <c r="P375" s="68">
        <f t="shared" si="42"/>
        <v>2.9283460661828595</v>
      </c>
      <c r="Q375" s="68">
        <f t="shared" si="43"/>
        <v>2.885385115607204</v>
      </c>
      <c r="R375" s="68">
        <f t="shared" si="44"/>
        <v>2.843054433187242</v>
      </c>
      <c r="S375" s="68">
        <f t="shared" si="45"/>
        <v>2.801344772434179</v>
      </c>
      <c r="T375" s="68">
        <f t="shared" si="46"/>
        <v>2.758952253329874</v>
      </c>
      <c r="U375" s="68">
        <f t="shared" si="47"/>
        <v>94.69602202320443</v>
      </c>
    </row>
    <row r="376" spans="11:21" ht="15">
      <c r="K376">
        <f t="shared" si="49"/>
        <v>250</v>
      </c>
      <c r="L376" s="120">
        <f t="shared" si="48"/>
        <v>40728</v>
      </c>
      <c r="M376" s="118">
        <f t="shared" si="50"/>
        <v>108.92588057560812</v>
      </c>
      <c r="N376" s="68"/>
      <c r="O376" s="68"/>
      <c r="P376" s="68">
        <f t="shared" si="42"/>
        <v>2.928689572051816</v>
      </c>
      <c r="Q376" s="68">
        <f t="shared" si="43"/>
        <v>2.8857235819971083</v>
      </c>
      <c r="R376" s="68">
        <f t="shared" si="44"/>
        <v>2.843387934030889</v>
      </c>
      <c r="S376" s="68">
        <f t="shared" si="45"/>
        <v>2.8016733805797167</v>
      </c>
      <c r="T376" s="68">
        <f t="shared" si="46"/>
        <v>2.759275888675481</v>
      </c>
      <c r="U376" s="68">
        <f t="shared" si="47"/>
        <v>94.70713021827311</v>
      </c>
    </row>
    <row r="377" spans="11:21" ht="15">
      <c r="K377">
        <f t="shared" si="49"/>
        <v>251</v>
      </c>
      <c r="L377" s="120">
        <f t="shared" si="48"/>
        <v>40729</v>
      </c>
      <c r="M377" s="118">
        <f t="shared" si="50"/>
        <v>108.93865798593232</v>
      </c>
      <c r="N377" s="68"/>
      <c r="O377" s="68"/>
      <c r="P377" s="68">
        <f t="shared" si="42"/>
        <v>2.9290331182152856</v>
      </c>
      <c r="Q377" s="68">
        <f t="shared" si="43"/>
        <v>2.886062088090376</v>
      </c>
      <c r="R377" s="68">
        <f t="shared" si="44"/>
        <v>2.843721473995423</v>
      </c>
      <c r="S377" s="68">
        <f t="shared" si="45"/>
        <v>2.8020020272722097</v>
      </c>
      <c r="T377" s="68">
        <f t="shared" si="46"/>
        <v>2.759599561984717</v>
      </c>
      <c r="U377" s="68">
        <f t="shared" si="47"/>
        <v>94.71823971637431</v>
      </c>
    </row>
    <row r="378" spans="11:21" ht="15">
      <c r="K378">
        <f t="shared" si="49"/>
        <v>252</v>
      </c>
      <c r="L378" s="120">
        <f t="shared" si="48"/>
        <v>40730</v>
      </c>
      <c r="M378" s="118">
        <f t="shared" si="50"/>
        <v>108.95143689509423</v>
      </c>
      <c r="N378" s="68"/>
      <c r="O378" s="68"/>
      <c r="P378" s="68">
        <f t="shared" si="42"/>
        <v>2.9293767046779964</v>
      </c>
      <c r="Q378" s="68">
        <f t="shared" si="43"/>
        <v>2.886400633891666</v>
      </c>
      <c r="R378" s="68">
        <f t="shared" si="44"/>
        <v>2.8440550530854334</v>
      </c>
      <c r="S378" s="68">
        <f t="shared" si="45"/>
        <v>2.8023307125161803</v>
      </c>
      <c r="T378" s="68">
        <f t="shared" si="46"/>
        <v>2.7599232732620336</v>
      </c>
      <c r="U378" s="68">
        <f t="shared" si="47"/>
        <v>94.72935051766092</v>
      </c>
    </row>
    <row r="379" spans="11:21" ht="15">
      <c r="K379">
        <f t="shared" si="49"/>
        <v>253</v>
      </c>
      <c r="L379" s="120">
        <f t="shared" si="48"/>
        <v>40731</v>
      </c>
      <c r="M379" s="118">
        <f t="shared" si="50"/>
        <v>108.96421730326963</v>
      </c>
      <c r="N379" s="68"/>
      <c r="O379" s="68"/>
      <c r="P379" s="68">
        <f t="shared" si="42"/>
        <v>2.9297203314446754</v>
      </c>
      <c r="Q379" s="68">
        <f t="shared" si="43"/>
        <v>2.886739219405636</v>
      </c>
      <c r="R379" s="68">
        <f t="shared" si="44"/>
        <v>2.84438867130551</v>
      </c>
      <c r="S379" s="68">
        <f t="shared" si="45"/>
        <v>2.802659436316151</v>
      </c>
      <c r="T379" s="68">
        <f t="shared" si="46"/>
        <v>2.7602470225118854</v>
      </c>
      <c r="U379" s="68">
        <f t="shared" si="47"/>
        <v>94.74046262228578</v>
      </c>
    </row>
    <row r="380" spans="11:21" ht="15">
      <c r="K380">
        <f t="shared" si="49"/>
        <v>254</v>
      </c>
      <c r="L380" s="120">
        <f t="shared" si="48"/>
        <v>40732</v>
      </c>
      <c r="M380" s="118">
        <f t="shared" si="50"/>
        <v>108.97699921063438</v>
      </c>
      <c r="N380" s="68"/>
      <c r="O380" s="68"/>
      <c r="P380" s="68">
        <f t="shared" si="42"/>
        <v>2.9300639985200503</v>
      </c>
      <c r="Q380" s="68">
        <f t="shared" si="43"/>
        <v>2.8870778446369436</v>
      </c>
      <c r="R380" s="68">
        <f t="shared" si="44"/>
        <v>2.844722328660243</v>
      </c>
      <c r="S380" s="68">
        <f t="shared" si="45"/>
        <v>2.802988198676644</v>
      </c>
      <c r="T380" s="68">
        <f t="shared" si="46"/>
        <v>2.7605708097387267</v>
      </c>
      <c r="U380" s="68">
        <f t="shared" si="47"/>
        <v>94.75157603040176</v>
      </c>
    </row>
    <row r="381" spans="11:21" ht="15">
      <c r="K381">
        <f t="shared" si="49"/>
        <v>255</v>
      </c>
      <c r="L381" s="120">
        <f t="shared" si="48"/>
        <v>40733</v>
      </c>
      <c r="M381" s="118">
        <f t="shared" si="50"/>
        <v>108.98978261736433</v>
      </c>
      <c r="N381" s="68"/>
      <c r="O381" s="68"/>
      <c r="P381" s="68">
        <f t="shared" si="42"/>
        <v>2.93040770590885</v>
      </c>
      <c r="Q381" s="68">
        <f t="shared" si="43"/>
        <v>2.8874165095902486</v>
      </c>
      <c r="R381" s="68">
        <f t="shared" si="44"/>
        <v>2.8450560251542227</v>
      </c>
      <c r="S381" s="68">
        <f t="shared" si="45"/>
        <v>2.803316999602183</v>
      </c>
      <c r="T381" s="68">
        <f t="shared" si="46"/>
        <v>2.7608946349470123</v>
      </c>
      <c r="U381" s="68">
        <f t="shared" si="47"/>
        <v>94.76269074216181</v>
      </c>
    </row>
    <row r="382" spans="11:21" ht="15">
      <c r="K382">
        <f t="shared" si="49"/>
        <v>256</v>
      </c>
      <c r="L382" s="120">
        <f t="shared" si="48"/>
        <v>40734</v>
      </c>
      <c r="M382" s="118">
        <f t="shared" si="50"/>
        <v>109.00256752363535</v>
      </c>
      <c r="N382" s="68"/>
      <c r="O382" s="68"/>
      <c r="P382" s="68">
        <f aca="true" t="shared" si="51" ref="P382:P445">$K$49/(1+$L$123/100)^(($J$49-K382)/252)</f>
        <v>2.9307514536158017</v>
      </c>
      <c r="Q382" s="68">
        <f aca="true" t="shared" si="52" ref="Q382:Q445">$K$50/(1+$L$123/100)^(($J$50-K382)/252)</f>
        <v>2.8877552142702108</v>
      </c>
      <c r="R382" s="68">
        <f aca="true" t="shared" si="53" ref="R382:R445">$K$51/(1+$L$123/100)^(($J$51-K382)/252)</f>
        <v>2.84538976079204</v>
      </c>
      <c r="S382" s="68">
        <f aca="true" t="shared" si="54" ref="S382:S445">$K$52/(1+$L$123/100)^(($J$52-K382)/252)</f>
        <v>2.803645839097292</v>
      </c>
      <c r="T382" s="68">
        <f aca="true" t="shared" si="55" ref="T382:T445">$K$53/(1+$L$123/100)^(($J$53-K382)/252)</f>
        <v>2.7612184981411976</v>
      </c>
      <c r="U382" s="68">
        <f aca="true" t="shared" si="56" ref="U382:U445">$K$54/(1+$L$123/100)^(($J$54-K382)/252)</f>
        <v>94.7738067577188</v>
      </c>
    </row>
    <row r="383" spans="11:21" ht="15">
      <c r="K383">
        <f t="shared" si="49"/>
        <v>257</v>
      </c>
      <c r="L383" s="120">
        <f t="shared" si="48"/>
        <v>40735</v>
      </c>
      <c r="M383" s="118">
        <f t="shared" si="50"/>
        <v>109.01535392962336</v>
      </c>
      <c r="N383" s="68"/>
      <c r="O383" s="68"/>
      <c r="P383" s="68">
        <f t="shared" si="51"/>
        <v>2.931095241645637</v>
      </c>
      <c r="Q383" s="68">
        <f t="shared" si="52"/>
        <v>2.8880939586814893</v>
      </c>
      <c r="R383" s="68">
        <f t="shared" si="53"/>
        <v>2.845723535578288</v>
      </c>
      <c r="S383" s="68">
        <f t="shared" si="54"/>
        <v>2.803974717166495</v>
      </c>
      <c r="T383" s="68">
        <f t="shared" si="55"/>
        <v>2.7615423993257378</v>
      </c>
      <c r="U383" s="68">
        <f t="shared" si="56"/>
        <v>94.78492407722571</v>
      </c>
    </row>
    <row r="384" spans="11:21" ht="15">
      <c r="K384">
        <f t="shared" si="49"/>
        <v>258</v>
      </c>
      <c r="L384" s="120">
        <f aca="true" t="shared" si="57" ref="L384:L447">L383+1</f>
        <v>40736</v>
      </c>
      <c r="M384" s="118">
        <f t="shared" si="50"/>
        <v>109.0281418355043</v>
      </c>
      <c r="N384" s="68"/>
      <c r="O384" s="68"/>
      <c r="P384" s="68">
        <f t="shared" si="51"/>
        <v>2.9314390700030843</v>
      </c>
      <c r="Q384" s="68">
        <f t="shared" si="52"/>
        <v>2.888432742828746</v>
      </c>
      <c r="R384" s="68">
        <f t="shared" si="53"/>
        <v>2.8460573495175576</v>
      </c>
      <c r="S384" s="68">
        <f t="shared" si="54"/>
        <v>2.8043036338143166</v>
      </c>
      <c r="T384" s="68">
        <f t="shared" si="55"/>
        <v>2.76186633850509</v>
      </c>
      <c r="U384" s="68">
        <f t="shared" si="56"/>
        <v>94.7960427008355</v>
      </c>
    </row>
    <row r="385" spans="11:21" ht="15">
      <c r="K385">
        <f t="shared" si="49"/>
        <v>259</v>
      </c>
      <c r="L385" s="120">
        <f t="shared" si="57"/>
        <v>40737</v>
      </c>
      <c r="M385" s="118">
        <f t="shared" si="50"/>
        <v>109.04093124145408</v>
      </c>
      <c r="N385" s="68"/>
      <c r="O385" s="68"/>
      <c r="P385" s="68">
        <f t="shared" si="51"/>
        <v>2.9317829386928755</v>
      </c>
      <c r="Q385" s="68">
        <f t="shared" si="52"/>
        <v>2.8887715667166405</v>
      </c>
      <c r="R385" s="68">
        <f t="shared" si="53"/>
        <v>2.846391202614442</v>
      </c>
      <c r="S385" s="68">
        <f t="shared" si="54"/>
        <v>2.804632589045282</v>
      </c>
      <c r="T385" s="68">
        <f t="shared" si="55"/>
        <v>2.762190315683711</v>
      </c>
      <c r="U385" s="68">
        <f t="shared" si="56"/>
        <v>94.80716262870112</v>
      </c>
    </row>
    <row r="386" spans="11:21" ht="15">
      <c r="K386">
        <f t="shared" si="49"/>
        <v>260</v>
      </c>
      <c r="L386" s="120">
        <f t="shared" si="57"/>
        <v>40738</v>
      </c>
      <c r="M386" s="118">
        <f t="shared" si="50"/>
        <v>109.05372214764866</v>
      </c>
      <c r="N386" s="68"/>
      <c r="O386" s="68"/>
      <c r="P386" s="68">
        <f t="shared" si="51"/>
        <v>2.932126847719741</v>
      </c>
      <c r="Q386" s="68">
        <f t="shared" si="52"/>
        <v>2.8891104303498363</v>
      </c>
      <c r="R386" s="68">
        <f t="shared" si="53"/>
        <v>2.8467250948735345</v>
      </c>
      <c r="S386" s="68">
        <f t="shared" si="54"/>
        <v>2.8049615828639185</v>
      </c>
      <c r="T386" s="68">
        <f t="shared" si="55"/>
        <v>2.762514330866059</v>
      </c>
      <c r="U386" s="68">
        <f t="shared" si="56"/>
        <v>94.81828386097557</v>
      </c>
    </row>
    <row r="387" spans="11:21" ht="15">
      <c r="K387">
        <f t="shared" si="49"/>
        <v>261</v>
      </c>
      <c r="L387" s="120">
        <f t="shared" si="57"/>
        <v>40739</v>
      </c>
      <c r="M387" s="118">
        <f t="shared" si="50"/>
        <v>109.06651455426405</v>
      </c>
      <c r="N387" s="68"/>
      <c r="O387" s="68"/>
      <c r="P387" s="68">
        <f t="shared" si="51"/>
        <v>2.9324707970884116</v>
      </c>
      <c r="Q387" s="68">
        <f t="shared" si="52"/>
        <v>2.889449333732994</v>
      </c>
      <c r="R387" s="68">
        <f t="shared" si="53"/>
        <v>2.8470590262994286</v>
      </c>
      <c r="S387" s="68">
        <f t="shared" si="54"/>
        <v>2.8052906152747514</v>
      </c>
      <c r="T387" s="68">
        <f t="shared" si="55"/>
        <v>2.7628383840565904</v>
      </c>
      <c r="U387" s="68">
        <f t="shared" si="56"/>
        <v>94.82940639781187</v>
      </c>
    </row>
    <row r="388" spans="11:21" ht="15">
      <c r="K388">
        <f t="shared" si="49"/>
        <v>262</v>
      </c>
      <c r="L388" s="120">
        <f t="shared" si="57"/>
        <v>40740</v>
      </c>
      <c r="M388" s="118">
        <f t="shared" si="50"/>
        <v>109.07930846147624</v>
      </c>
      <c r="N388" s="68"/>
      <c r="O388" s="68"/>
      <c r="P388" s="68">
        <f t="shared" si="51"/>
        <v>2.932814786803622</v>
      </c>
      <c r="Q388" s="68">
        <f t="shared" si="52"/>
        <v>2.8897882768707777</v>
      </c>
      <c r="R388" s="68">
        <f t="shared" si="53"/>
        <v>2.8473929968967195</v>
      </c>
      <c r="S388" s="68">
        <f t="shared" si="54"/>
        <v>2.805619686282308</v>
      </c>
      <c r="T388" s="68">
        <f t="shared" si="55"/>
        <v>2.7631624752597643</v>
      </c>
      <c r="U388" s="68">
        <f t="shared" si="56"/>
        <v>94.84053023936305</v>
      </c>
    </row>
    <row r="389" spans="11:21" ht="15">
      <c r="K389">
        <f t="shared" si="49"/>
        <v>263</v>
      </c>
      <c r="L389" s="120">
        <f t="shared" si="57"/>
        <v>40741</v>
      </c>
      <c r="M389" s="118">
        <f t="shared" si="50"/>
        <v>109.09210386946128</v>
      </c>
      <c r="N389" s="68"/>
      <c r="O389" s="68"/>
      <c r="P389" s="68">
        <f t="shared" si="51"/>
        <v>2.9331588168701024</v>
      </c>
      <c r="Q389" s="68">
        <f t="shared" si="52"/>
        <v>2.89012725976785</v>
      </c>
      <c r="R389" s="68">
        <f t="shared" si="53"/>
        <v>2.8477270066700022</v>
      </c>
      <c r="S389" s="68">
        <f t="shared" si="54"/>
        <v>2.805948795891116</v>
      </c>
      <c r="T389" s="68">
        <f t="shared" si="55"/>
        <v>2.7634866044800406</v>
      </c>
      <c r="U389" s="68">
        <f t="shared" si="56"/>
        <v>94.85165538578218</v>
      </c>
    </row>
    <row r="390" spans="11:21" ht="15">
      <c r="K390">
        <f t="shared" si="49"/>
        <v>264</v>
      </c>
      <c r="L390" s="120">
        <f t="shared" si="57"/>
        <v>40742</v>
      </c>
      <c r="M390" s="118">
        <f t="shared" si="50"/>
        <v>109.10490077839519</v>
      </c>
      <c r="N390" s="68"/>
      <c r="O390" s="68"/>
      <c r="P390" s="68">
        <f t="shared" si="51"/>
        <v>2.9335028872925877</v>
      </c>
      <c r="Q390" s="68">
        <f t="shared" si="52"/>
        <v>2.890466282428875</v>
      </c>
      <c r="R390" s="68">
        <f t="shared" si="53"/>
        <v>2.8480610556238717</v>
      </c>
      <c r="S390" s="68">
        <f t="shared" si="54"/>
        <v>2.806277944105704</v>
      </c>
      <c r="T390" s="68">
        <f t="shared" si="55"/>
        <v>2.763810771721878</v>
      </c>
      <c r="U390" s="68">
        <f t="shared" si="56"/>
        <v>94.86278183722227</v>
      </c>
    </row>
    <row r="391" spans="11:21" ht="15">
      <c r="K391">
        <f t="shared" si="49"/>
        <v>265</v>
      </c>
      <c r="L391" s="120">
        <f t="shared" si="57"/>
        <v>40743</v>
      </c>
      <c r="M391" s="118">
        <f t="shared" si="50"/>
        <v>109.11769918845403</v>
      </c>
      <c r="N391" s="68"/>
      <c r="O391" s="68"/>
      <c r="P391" s="68">
        <f t="shared" si="51"/>
        <v>2.933846998075811</v>
      </c>
      <c r="Q391" s="68">
        <f t="shared" si="52"/>
        <v>2.890805344858517</v>
      </c>
      <c r="R391" s="68">
        <f t="shared" si="53"/>
        <v>2.8483951437629234</v>
      </c>
      <c r="S391" s="68">
        <f t="shared" si="54"/>
        <v>2.806607130930599</v>
      </c>
      <c r="T391" s="68">
        <f t="shared" si="55"/>
        <v>2.7641349769897365</v>
      </c>
      <c r="U391" s="68">
        <f t="shared" si="56"/>
        <v>94.87390959383644</v>
      </c>
    </row>
    <row r="392" spans="11:21" ht="15">
      <c r="K392">
        <f t="shared" si="49"/>
        <v>266</v>
      </c>
      <c r="L392" s="120">
        <f t="shared" si="57"/>
        <v>40744</v>
      </c>
      <c r="M392" s="118">
        <f t="shared" si="50"/>
        <v>109.1304990998139</v>
      </c>
      <c r="N392" s="68"/>
      <c r="O392" s="68"/>
      <c r="P392" s="68">
        <f t="shared" si="51"/>
        <v>2.934191149224508</v>
      </c>
      <c r="Q392" s="68">
        <f t="shared" si="52"/>
        <v>2.891144447061442</v>
      </c>
      <c r="R392" s="68">
        <f t="shared" si="53"/>
        <v>2.848729271091755</v>
      </c>
      <c r="S392" s="68">
        <f t="shared" si="54"/>
        <v>2.806936356370332</v>
      </c>
      <c r="T392" s="68">
        <f t="shared" si="55"/>
        <v>2.764459220288077</v>
      </c>
      <c r="U392" s="68">
        <f t="shared" si="56"/>
        <v>94.88503865577779</v>
      </c>
    </row>
    <row r="393" spans="11:21" ht="15">
      <c r="K393">
        <f t="shared" si="49"/>
        <v>267</v>
      </c>
      <c r="L393" s="120">
        <f t="shared" si="57"/>
        <v>40745</v>
      </c>
      <c r="M393" s="118">
        <f t="shared" si="50"/>
        <v>109.14330051265094</v>
      </c>
      <c r="N393" s="68"/>
      <c r="O393" s="68"/>
      <c r="P393" s="68">
        <f t="shared" si="51"/>
        <v>2.934535340743412</v>
      </c>
      <c r="Q393" s="68">
        <f t="shared" si="52"/>
        <v>2.891483589042314</v>
      </c>
      <c r="R393" s="68">
        <f t="shared" si="53"/>
        <v>2.8490634376149626</v>
      </c>
      <c r="S393" s="68">
        <f t="shared" si="54"/>
        <v>2.807265620429431</v>
      </c>
      <c r="T393" s="68">
        <f t="shared" si="55"/>
        <v>2.764783501621361</v>
      </c>
      <c r="U393" s="68">
        <f t="shared" si="56"/>
        <v>94.89616902319946</v>
      </c>
    </row>
    <row r="394" spans="11:21" ht="15">
      <c r="K394">
        <f t="shared" si="49"/>
        <v>268</v>
      </c>
      <c r="L394" s="120">
        <f t="shared" si="57"/>
        <v>40746</v>
      </c>
      <c r="M394" s="118">
        <f t="shared" si="50"/>
        <v>109.15610342714122</v>
      </c>
      <c r="N394" s="68"/>
      <c r="O394" s="68"/>
      <c r="P394" s="68">
        <f t="shared" si="51"/>
        <v>2.93487957263726</v>
      </c>
      <c r="Q394" s="68">
        <f t="shared" si="52"/>
        <v>2.8918227708058004</v>
      </c>
      <c r="R394" s="68">
        <f t="shared" si="53"/>
        <v>2.849397643337145</v>
      </c>
      <c r="S394" s="68">
        <f t="shared" si="54"/>
        <v>2.8075949231124273</v>
      </c>
      <c r="T394" s="68">
        <f t="shared" si="55"/>
        <v>2.7651078209940496</v>
      </c>
      <c r="U394" s="68">
        <f t="shared" si="56"/>
        <v>94.90730069625454</v>
      </c>
    </row>
    <row r="395" spans="11:21" ht="15">
      <c r="K395">
        <f t="shared" si="49"/>
        <v>269</v>
      </c>
      <c r="L395" s="120">
        <f t="shared" si="57"/>
        <v>40747</v>
      </c>
      <c r="M395" s="118">
        <f t="shared" si="50"/>
        <v>109.16890784346094</v>
      </c>
      <c r="N395" s="68"/>
      <c r="O395" s="68"/>
      <c r="P395" s="68">
        <f t="shared" si="51"/>
        <v>2.935223844910787</v>
      </c>
      <c r="Q395" s="68">
        <f t="shared" si="52"/>
        <v>2.892161992356567</v>
      </c>
      <c r="R395" s="68">
        <f t="shared" si="53"/>
        <v>2.8497318882629</v>
      </c>
      <c r="S395" s="68">
        <f t="shared" si="54"/>
        <v>2.807924264423851</v>
      </c>
      <c r="T395" s="68">
        <f t="shared" si="55"/>
        <v>2.7654321784106055</v>
      </c>
      <c r="U395" s="68">
        <f t="shared" si="56"/>
        <v>94.91843367509622</v>
      </c>
    </row>
    <row r="396" spans="11:21" ht="15">
      <c r="K396">
        <f t="shared" si="49"/>
        <v>270</v>
      </c>
      <c r="L396" s="120">
        <f t="shared" si="57"/>
        <v>40748</v>
      </c>
      <c r="M396" s="118">
        <f t="shared" si="50"/>
        <v>109.18171376178623</v>
      </c>
      <c r="N396" s="68"/>
      <c r="O396" s="68"/>
      <c r="P396" s="68">
        <f t="shared" si="51"/>
        <v>2.9355681575687305</v>
      </c>
      <c r="Q396" s="68">
        <f t="shared" si="52"/>
        <v>2.892501253699281</v>
      </c>
      <c r="R396" s="68">
        <f t="shared" si="53"/>
        <v>2.8500661723968257</v>
      </c>
      <c r="S396" s="68">
        <f t="shared" si="54"/>
        <v>2.808253644368234</v>
      </c>
      <c r="T396" s="68">
        <f t="shared" si="55"/>
        <v>2.76575657387549</v>
      </c>
      <c r="U396" s="68">
        <f t="shared" si="56"/>
        <v>94.92956795987767</v>
      </c>
    </row>
    <row r="397" spans="11:21" ht="15">
      <c r="K397">
        <f t="shared" si="49"/>
        <v>271</v>
      </c>
      <c r="L397" s="120">
        <f t="shared" si="57"/>
        <v>40749</v>
      </c>
      <c r="M397" s="118">
        <f t="shared" si="50"/>
        <v>109.19452118229329</v>
      </c>
      <c r="N397" s="68"/>
      <c r="O397" s="68"/>
      <c r="P397" s="68">
        <f t="shared" si="51"/>
        <v>2.935912510615828</v>
      </c>
      <c r="Q397" s="68">
        <f t="shared" si="52"/>
        <v>2.892840554838611</v>
      </c>
      <c r="R397" s="68">
        <f t="shared" si="53"/>
        <v>2.850400495743522</v>
      </c>
      <c r="S397" s="68">
        <f t="shared" si="54"/>
        <v>2.808583062950108</v>
      </c>
      <c r="T397" s="68">
        <f t="shared" si="55"/>
        <v>2.766081007393168</v>
      </c>
      <c r="U397" s="68">
        <f t="shared" si="56"/>
        <v>94.94070355075205</v>
      </c>
    </row>
    <row r="398" spans="11:21" ht="15">
      <c r="K398">
        <f t="shared" si="49"/>
        <v>272</v>
      </c>
      <c r="L398" s="120">
        <f t="shared" si="57"/>
        <v>40750</v>
      </c>
      <c r="M398" s="118">
        <f t="shared" si="50"/>
        <v>109.20733010515836</v>
      </c>
      <c r="N398" s="68"/>
      <c r="O398" s="68"/>
      <c r="P398" s="68">
        <f t="shared" si="51"/>
        <v>2.936256904056816</v>
      </c>
      <c r="Q398" s="68">
        <f t="shared" si="52"/>
        <v>2.8931798957792245</v>
      </c>
      <c r="R398" s="68">
        <f t="shared" si="53"/>
        <v>2.850734858307588</v>
      </c>
      <c r="S398" s="68">
        <f t="shared" si="54"/>
        <v>2.808912520174004</v>
      </c>
      <c r="T398" s="68">
        <f t="shared" si="55"/>
        <v>2.766405478968102</v>
      </c>
      <c r="U398" s="68">
        <f t="shared" si="56"/>
        <v>94.95184044787263</v>
      </c>
    </row>
    <row r="399" spans="11:21" ht="15">
      <c r="K399">
        <f t="shared" si="49"/>
        <v>273</v>
      </c>
      <c r="L399" s="120">
        <f t="shared" si="57"/>
        <v>40751</v>
      </c>
      <c r="M399" s="118">
        <f t="shared" si="50"/>
        <v>109.22014053055764</v>
      </c>
      <c r="N399" s="68"/>
      <c r="O399" s="68"/>
      <c r="P399" s="68">
        <f t="shared" si="51"/>
        <v>2.936601337896434</v>
      </c>
      <c r="Q399" s="68">
        <f t="shared" si="52"/>
        <v>2.8935192765257907</v>
      </c>
      <c r="R399" s="68">
        <f t="shared" si="53"/>
        <v>2.851069260093625</v>
      </c>
      <c r="S399" s="68">
        <f t="shared" si="54"/>
        <v>2.809242016044457</v>
      </c>
      <c r="T399" s="68">
        <f t="shared" si="55"/>
        <v>2.766729988604757</v>
      </c>
      <c r="U399" s="68">
        <f t="shared" si="56"/>
        <v>94.96297865139258</v>
      </c>
    </row>
    <row r="400" spans="11:21" ht="15">
      <c r="K400">
        <f t="shared" si="49"/>
        <v>274</v>
      </c>
      <c r="L400" s="120">
        <f t="shared" si="57"/>
        <v>40752</v>
      </c>
      <c r="M400" s="118">
        <f t="shared" si="50"/>
        <v>109.2329524586674</v>
      </c>
      <c r="N400" s="68"/>
      <c r="O400" s="68"/>
      <c r="P400" s="68">
        <f t="shared" si="51"/>
        <v>2.9369458121394207</v>
      </c>
      <c r="Q400" s="68">
        <f t="shared" si="52"/>
        <v>2.893858697082979</v>
      </c>
      <c r="R400" s="68">
        <f t="shared" si="53"/>
        <v>2.8514037011062334</v>
      </c>
      <c r="S400" s="68">
        <f t="shared" si="54"/>
        <v>2.8095715505659986</v>
      </c>
      <c r="T400" s="68">
        <f t="shared" si="55"/>
        <v>2.767054536307598</v>
      </c>
      <c r="U400" s="68">
        <f t="shared" si="56"/>
        <v>94.97411816146517</v>
      </c>
    </row>
    <row r="401" spans="11:21" ht="15">
      <c r="K401">
        <f t="shared" si="49"/>
        <v>275</v>
      </c>
      <c r="L401" s="120">
        <f t="shared" si="57"/>
        <v>40753</v>
      </c>
      <c r="M401" s="118">
        <f t="shared" si="50"/>
        <v>109.2457658896639</v>
      </c>
      <c r="N401" s="68"/>
      <c r="O401" s="68"/>
      <c r="P401" s="68">
        <f t="shared" si="51"/>
        <v>2.9372903267905155</v>
      </c>
      <c r="Q401" s="68">
        <f t="shared" si="52"/>
        <v>2.8941981574554587</v>
      </c>
      <c r="R401" s="68">
        <f t="shared" si="53"/>
        <v>2.851738181350015</v>
      </c>
      <c r="S401" s="68">
        <f t="shared" si="54"/>
        <v>2.809901123743164</v>
      </c>
      <c r="T401" s="68">
        <f t="shared" si="55"/>
        <v>2.7673791220810893</v>
      </c>
      <c r="U401" s="68">
        <f t="shared" si="56"/>
        <v>94.98525897824366</v>
      </c>
    </row>
    <row r="402" spans="11:21" ht="15">
      <c r="K402">
        <f t="shared" si="49"/>
        <v>276</v>
      </c>
      <c r="L402" s="120">
        <f t="shared" si="57"/>
        <v>40754</v>
      </c>
      <c r="M402" s="118">
        <f t="shared" si="50"/>
        <v>109.25858082372346</v>
      </c>
      <c r="N402" s="68"/>
      <c r="O402" s="68"/>
      <c r="P402" s="68">
        <f t="shared" si="51"/>
        <v>2.9376348818544575</v>
      </c>
      <c r="Q402" s="68">
        <f t="shared" si="52"/>
        <v>2.8945376576479016</v>
      </c>
      <c r="R402" s="68">
        <f t="shared" si="53"/>
        <v>2.8520727008295705</v>
      </c>
      <c r="S402" s="68">
        <f t="shared" si="54"/>
        <v>2.810230735580487</v>
      </c>
      <c r="T402" s="68">
        <f t="shared" si="55"/>
        <v>2.7677037459296976</v>
      </c>
      <c r="U402" s="68">
        <f t="shared" si="56"/>
        <v>94.99640110188135</v>
      </c>
    </row>
    <row r="403" spans="11:21" ht="15">
      <c r="K403">
        <f t="shared" si="49"/>
        <v>277</v>
      </c>
      <c r="L403" s="120">
        <f t="shared" si="57"/>
        <v>40755</v>
      </c>
      <c r="M403" s="118">
        <f t="shared" si="50"/>
        <v>109.27139726102237</v>
      </c>
      <c r="N403" s="68"/>
      <c r="O403" s="68"/>
      <c r="P403" s="68">
        <f t="shared" si="51"/>
        <v>2.937979477335989</v>
      </c>
      <c r="Q403" s="68">
        <f t="shared" si="52"/>
        <v>2.8948771976649774</v>
      </c>
      <c r="R403" s="68">
        <f t="shared" si="53"/>
        <v>2.8524072595495036</v>
      </c>
      <c r="S403" s="68">
        <f t="shared" si="54"/>
        <v>2.8105603860825026</v>
      </c>
      <c r="T403" s="68">
        <f t="shared" si="55"/>
        <v>2.7680284078578885</v>
      </c>
      <c r="U403" s="68">
        <f t="shared" si="56"/>
        <v>95.00754453253151</v>
      </c>
    </row>
    <row r="404" spans="11:21" ht="15">
      <c r="K404">
        <f t="shared" si="49"/>
        <v>278</v>
      </c>
      <c r="L404" s="120">
        <f t="shared" si="57"/>
        <v>40756</v>
      </c>
      <c r="M404" s="118">
        <f t="shared" si="50"/>
        <v>109.28421520173698</v>
      </c>
      <c r="N404" s="68"/>
      <c r="O404" s="68"/>
      <c r="P404" s="68">
        <f t="shared" si="51"/>
        <v>2.93832411323985</v>
      </c>
      <c r="Q404" s="68">
        <f t="shared" si="52"/>
        <v>2.8952167775113584</v>
      </c>
      <c r="R404" s="68">
        <f t="shared" si="53"/>
        <v>2.8527418575144177</v>
      </c>
      <c r="S404" s="68">
        <f t="shared" si="54"/>
        <v>2.810890075253746</v>
      </c>
      <c r="T404" s="68">
        <f t="shared" si="55"/>
        <v>2.7683531078701296</v>
      </c>
      <c r="U404" s="68">
        <f t="shared" si="56"/>
        <v>95.01868927034748</v>
      </c>
    </row>
    <row r="405" spans="11:21" ht="15">
      <c r="K405">
        <f t="shared" si="49"/>
        <v>279</v>
      </c>
      <c r="L405" s="120">
        <f t="shared" si="57"/>
        <v>40757</v>
      </c>
      <c r="M405" s="118">
        <f t="shared" si="50"/>
        <v>109.29703464604363</v>
      </c>
      <c r="N405" s="68"/>
      <c r="O405" s="68"/>
      <c r="P405" s="68">
        <f t="shared" si="51"/>
        <v>2.9386687895707824</v>
      </c>
      <c r="Q405" s="68">
        <f t="shared" si="52"/>
        <v>2.8955563971917164</v>
      </c>
      <c r="R405" s="68">
        <f t="shared" si="53"/>
        <v>2.853076494728915</v>
      </c>
      <c r="S405" s="68">
        <f t="shared" si="54"/>
        <v>2.811219803098754</v>
      </c>
      <c r="T405" s="68">
        <f t="shared" si="55"/>
        <v>2.768677845970888</v>
      </c>
      <c r="U405" s="68">
        <f t="shared" si="56"/>
        <v>95.02983531548257</v>
      </c>
    </row>
    <row r="406" spans="11:21" ht="15">
      <c r="K406">
        <f t="shared" si="49"/>
        <v>280</v>
      </c>
      <c r="L406" s="120">
        <f t="shared" si="57"/>
        <v>40758</v>
      </c>
      <c r="M406" s="118">
        <f t="shared" si="50"/>
        <v>109.3098555941187</v>
      </c>
      <c r="N406" s="68"/>
      <c r="O406" s="68"/>
      <c r="P406" s="68">
        <f t="shared" si="51"/>
        <v>2.9390135063335285</v>
      </c>
      <c r="Q406" s="68">
        <f t="shared" si="52"/>
        <v>2.8958960567107237</v>
      </c>
      <c r="R406" s="68">
        <f t="shared" si="53"/>
        <v>2.8534111711976005</v>
      </c>
      <c r="S406" s="68">
        <f t="shared" si="54"/>
        <v>2.8115495696220623</v>
      </c>
      <c r="T406" s="68">
        <f t="shared" si="55"/>
        <v>2.7690026221646318</v>
      </c>
      <c r="U406" s="68">
        <f t="shared" si="56"/>
        <v>95.04098266809015</v>
      </c>
    </row>
    <row r="407" spans="11:21" ht="15">
      <c r="K407">
        <f t="shared" si="49"/>
        <v>281</v>
      </c>
      <c r="L407" s="120">
        <f t="shared" si="57"/>
        <v>40759</v>
      </c>
      <c r="M407" s="118">
        <f t="shared" si="50"/>
        <v>109.3226780461386</v>
      </c>
      <c r="N407" s="68"/>
      <c r="O407" s="68"/>
      <c r="P407" s="68">
        <f t="shared" si="51"/>
        <v>2.9393582635328315</v>
      </c>
      <c r="Q407" s="68">
        <f t="shared" si="52"/>
        <v>2.896235756073055</v>
      </c>
      <c r="R407" s="68">
        <f t="shared" si="53"/>
        <v>2.853745886925079</v>
      </c>
      <c r="S407" s="68">
        <f t="shared" si="54"/>
        <v>2.8118793748282087</v>
      </c>
      <c r="T407" s="68">
        <f t="shared" si="55"/>
        <v>2.769327436455829</v>
      </c>
      <c r="U407" s="68">
        <f t="shared" si="56"/>
        <v>95.0521313283236</v>
      </c>
    </row>
    <row r="408" spans="11:21" ht="15">
      <c r="K408">
        <f t="shared" si="49"/>
        <v>282</v>
      </c>
      <c r="L408" s="120">
        <f t="shared" si="57"/>
        <v>40760</v>
      </c>
      <c r="M408" s="118">
        <f t="shared" si="50"/>
        <v>109.33550200227975</v>
      </c>
      <c r="N408" s="68"/>
      <c r="O408" s="68"/>
      <c r="P408" s="68">
        <f t="shared" si="51"/>
        <v>2.9397030611734345</v>
      </c>
      <c r="Q408" s="68">
        <f t="shared" si="52"/>
        <v>2.8965754952833827</v>
      </c>
      <c r="R408" s="68">
        <f t="shared" si="53"/>
        <v>2.854080641915955</v>
      </c>
      <c r="S408" s="68">
        <f t="shared" si="54"/>
        <v>2.8122092187217307</v>
      </c>
      <c r="T408" s="68">
        <f t="shared" si="55"/>
        <v>2.7696522888489494</v>
      </c>
      <c r="U408" s="68">
        <f t="shared" si="56"/>
        <v>95.0632812963363</v>
      </c>
    </row>
    <row r="409" spans="11:21" ht="15">
      <c r="K409">
        <f t="shared" si="49"/>
        <v>283</v>
      </c>
      <c r="L409" s="120">
        <f t="shared" si="57"/>
        <v>40761</v>
      </c>
      <c r="M409" s="118">
        <f t="shared" si="50"/>
        <v>109.34832746271856</v>
      </c>
      <c r="N409" s="68"/>
      <c r="O409" s="68"/>
      <c r="P409" s="68">
        <f t="shared" si="51"/>
        <v>2.94004789926008</v>
      </c>
      <c r="Q409" s="68">
        <f t="shared" si="52"/>
        <v>2.8969152743463815</v>
      </c>
      <c r="R409" s="68">
        <f t="shared" si="53"/>
        <v>2.854415436174835</v>
      </c>
      <c r="S409" s="68">
        <f t="shared" si="54"/>
        <v>2.8125391013071668</v>
      </c>
      <c r="T409" s="68">
        <f t="shared" si="55"/>
        <v>2.769977179348461</v>
      </c>
      <c r="U409" s="68">
        <f t="shared" si="56"/>
        <v>95.07443257228164</v>
      </c>
    </row>
    <row r="410" spans="11:21" ht="15">
      <c r="K410">
        <f t="shared" si="49"/>
        <v>284</v>
      </c>
      <c r="L410" s="120">
        <f t="shared" si="57"/>
        <v>40762</v>
      </c>
      <c r="M410" s="118">
        <f t="shared" si="50"/>
        <v>109.36115442763155</v>
      </c>
      <c r="N410" s="68"/>
      <c r="O410" s="68"/>
      <c r="P410" s="68">
        <f t="shared" si="51"/>
        <v>2.940392777797515</v>
      </c>
      <c r="Q410" s="68">
        <f t="shared" si="52"/>
        <v>2.897255093266726</v>
      </c>
      <c r="R410" s="68">
        <f t="shared" si="53"/>
        <v>2.8547502697063245</v>
      </c>
      <c r="S410" s="68">
        <f t="shared" si="54"/>
        <v>2.8128690225890542</v>
      </c>
      <c r="T410" s="68">
        <f t="shared" si="55"/>
        <v>2.7703021079588357</v>
      </c>
      <c r="U410" s="68">
        <f t="shared" si="56"/>
        <v>95.08558515631309</v>
      </c>
    </row>
    <row r="411" spans="11:21" ht="15">
      <c r="K411">
        <f t="shared" si="49"/>
        <v>285</v>
      </c>
      <c r="L411" s="120">
        <f t="shared" si="57"/>
        <v>40763</v>
      </c>
      <c r="M411" s="118">
        <f t="shared" si="50"/>
        <v>109.37398289719512</v>
      </c>
      <c r="N411" s="68"/>
      <c r="O411" s="68"/>
      <c r="P411" s="68">
        <f t="shared" si="51"/>
        <v>2.9407376967904826</v>
      </c>
      <c r="Q411" s="68">
        <f t="shared" si="52"/>
        <v>2.8975949520490922</v>
      </c>
      <c r="R411" s="68">
        <f t="shared" si="53"/>
        <v>2.8550851425150316</v>
      </c>
      <c r="S411" s="68">
        <f t="shared" si="54"/>
        <v>2.813198982571934</v>
      </c>
      <c r="T411" s="68">
        <f t="shared" si="55"/>
        <v>2.7706270746845427</v>
      </c>
      <c r="U411" s="68">
        <f t="shared" si="56"/>
        <v>95.09673904858404</v>
      </c>
    </row>
    <row r="412" spans="11:21" ht="15">
      <c r="K412">
        <f t="shared" si="49"/>
        <v>286</v>
      </c>
      <c r="L412" s="120">
        <f t="shared" si="57"/>
        <v>40764</v>
      </c>
      <c r="M412" s="118">
        <f t="shared" si="50"/>
        <v>109.38681287158585</v>
      </c>
      <c r="N412" s="68"/>
      <c r="O412" s="68"/>
      <c r="P412" s="68">
        <f t="shared" si="51"/>
        <v>2.9410826562437293</v>
      </c>
      <c r="Q412" s="68">
        <f t="shared" si="52"/>
        <v>2.8979348506981553</v>
      </c>
      <c r="R412" s="68">
        <f t="shared" si="53"/>
        <v>2.8554200546055624</v>
      </c>
      <c r="S412" s="68">
        <f t="shared" si="54"/>
        <v>2.8135289812603452</v>
      </c>
      <c r="T412" s="68">
        <f t="shared" si="55"/>
        <v>2.7709520795300535</v>
      </c>
      <c r="U412" s="68">
        <f t="shared" si="56"/>
        <v>95.107894249248</v>
      </c>
    </row>
    <row r="413" spans="11:21" ht="15">
      <c r="K413">
        <f t="shared" si="49"/>
        <v>287</v>
      </c>
      <c r="L413" s="120">
        <f t="shared" si="57"/>
        <v>40765</v>
      </c>
      <c r="M413" s="118">
        <f t="shared" si="50"/>
        <v>109.39964435098018</v>
      </c>
      <c r="N413" s="68"/>
      <c r="O413" s="68"/>
      <c r="P413" s="68">
        <f t="shared" si="51"/>
        <v>2.9414276561620007</v>
      </c>
      <c r="Q413" s="68">
        <f t="shared" si="52"/>
        <v>2.898274789218593</v>
      </c>
      <c r="R413" s="68">
        <f t="shared" si="53"/>
        <v>2.855755005982525</v>
      </c>
      <c r="S413" s="68">
        <f t="shared" si="54"/>
        <v>2.813859018658828</v>
      </c>
      <c r="T413" s="68">
        <f t="shared" si="55"/>
        <v>2.77127712249984</v>
      </c>
      <c r="U413" s="68">
        <f t="shared" si="56"/>
        <v>95.1190507584584</v>
      </c>
    </row>
    <row r="414" spans="11:21" ht="15">
      <c r="K414">
        <f t="shared" si="49"/>
        <v>288</v>
      </c>
      <c r="L414" s="120">
        <f t="shared" si="57"/>
        <v>40766</v>
      </c>
      <c r="M414" s="118">
        <f t="shared" si="50"/>
        <v>109.41247733555475</v>
      </c>
      <c r="N414" s="68"/>
      <c r="O414" s="68"/>
      <c r="P414" s="68">
        <f t="shared" si="51"/>
        <v>2.941772696550044</v>
      </c>
      <c r="Q414" s="68">
        <f t="shared" si="52"/>
        <v>2.898614767615081</v>
      </c>
      <c r="R414" s="68">
        <f t="shared" si="53"/>
        <v>2.856089996650528</v>
      </c>
      <c r="S414" s="68">
        <f t="shared" si="54"/>
        <v>2.8141890947719235</v>
      </c>
      <c r="T414" s="68">
        <f t="shared" si="55"/>
        <v>2.7716022035983734</v>
      </c>
      <c r="U414" s="68">
        <f t="shared" si="56"/>
        <v>95.1302085763688</v>
      </c>
    </row>
    <row r="415" spans="11:21" ht="15">
      <c r="K415">
        <f t="shared" si="49"/>
        <v>289</v>
      </c>
      <c r="L415" s="120">
        <f t="shared" si="57"/>
        <v>40767</v>
      </c>
      <c r="M415" s="118">
        <f t="shared" si="50"/>
        <v>109.42531182548603</v>
      </c>
      <c r="N415" s="68"/>
      <c r="O415" s="68"/>
      <c r="P415" s="68">
        <f t="shared" si="51"/>
        <v>2.942117777412606</v>
      </c>
      <c r="Q415" s="68">
        <f t="shared" si="52"/>
        <v>2.8989547858922977</v>
      </c>
      <c r="R415" s="68">
        <f t="shared" si="53"/>
        <v>2.8564250266141804</v>
      </c>
      <c r="S415" s="68">
        <f t="shared" si="54"/>
        <v>2.8145192096041725</v>
      </c>
      <c r="T415" s="68">
        <f t="shared" si="55"/>
        <v>2.7719273228301278</v>
      </c>
      <c r="U415" s="68">
        <f t="shared" si="56"/>
        <v>95.14136770313264</v>
      </c>
    </row>
    <row r="416" spans="11:21" ht="15">
      <c r="K416">
        <f t="shared" si="49"/>
        <v>290</v>
      </c>
      <c r="L416" s="120">
        <f t="shared" si="57"/>
        <v>40768</v>
      </c>
      <c r="M416" s="118">
        <f t="shared" si="50"/>
        <v>109.43814782095065</v>
      </c>
      <c r="N416" s="68"/>
      <c r="O416" s="68"/>
      <c r="P416" s="68">
        <f t="shared" si="51"/>
        <v>2.9424628987544352</v>
      </c>
      <c r="Q416" s="68">
        <f t="shared" si="52"/>
        <v>2.899294844054921</v>
      </c>
      <c r="R416" s="68">
        <f t="shared" si="53"/>
        <v>2.8567600958780925</v>
      </c>
      <c r="S416" s="68">
        <f t="shared" si="54"/>
        <v>2.8148493631601177</v>
      </c>
      <c r="T416" s="68">
        <f t="shared" si="55"/>
        <v>2.772252480199575</v>
      </c>
      <c r="U416" s="68">
        <f t="shared" si="56"/>
        <v>95.1525281389035</v>
      </c>
    </row>
    <row r="417" spans="11:21" ht="15">
      <c r="K417">
        <f t="shared" si="49"/>
        <v>291</v>
      </c>
      <c r="L417" s="120">
        <f t="shared" si="57"/>
        <v>40769</v>
      </c>
      <c r="M417" s="118">
        <f t="shared" si="50"/>
        <v>109.45098532212522</v>
      </c>
      <c r="N417" s="68"/>
      <c r="O417" s="68"/>
      <c r="P417" s="68">
        <f t="shared" si="51"/>
        <v>2.9428080605802793</v>
      </c>
      <c r="Q417" s="68">
        <f t="shared" si="52"/>
        <v>2.89963494210763</v>
      </c>
      <c r="R417" s="68">
        <f t="shared" si="53"/>
        <v>2.857095204446873</v>
      </c>
      <c r="S417" s="68">
        <f t="shared" si="54"/>
        <v>2.815179555444301</v>
      </c>
      <c r="T417" s="68">
        <f t="shared" si="55"/>
        <v>2.772577675711189</v>
      </c>
      <c r="U417" s="68">
        <f t="shared" si="56"/>
        <v>95.16368988383495</v>
      </c>
    </row>
    <row r="418" spans="11:21" ht="15">
      <c r="K418">
        <f aca="true" t="shared" si="58" ref="K418:K481">K417+1</f>
        <v>292</v>
      </c>
      <c r="L418" s="120">
        <f t="shared" si="57"/>
        <v>40770</v>
      </c>
      <c r="M418" s="118">
        <f aca="true" t="shared" si="59" ref="M418:M481">SUM(N418:U418)</f>
        <v>109.46382432918634</v>
      </c>
      <c r="N418" s="68"/>
      <c r="O418" s="68"/>
      <c r="P418" s="68">
        <f t="shared" si="51"/>
        <v>2.9431532628948878</v>
      </c>
      <c r="Q418" s="68">
        <f t="shared" si="52"/>
        <v>2.8999750800551034</v>
      </c>
      <c r="R418" s="68">
        <f t="shared" si="53"/>
        <v>2.857430352325133</v>
      </c>
      <c r="S418" s="68">
        <f t="shared" si="54"/>
        <v>2.8155097864612655</v>
      </c>
      <c r="T418" s="68">
        <f t="shared" si="55"/>
        <v>2.7729029093694444</v>
      </c>
      <c r="U418" s="68">
        <f t="shared" si="56"/>
        <v>95.1748529380805</v>
      </c>
    </row>
    <row r="419" spans="11:21" ht="15">
      <c r="K419">
        <f t="shared" si="58"/>
        <v>293</v>
      </c>
      <c r="L419" s="120">
        <f t="shared" si="57"/>
        <v>40771</v>
      </c>
      <c r="M419" s="118">
        <f t="shared" si="59"/>
        <v>109.47666484231068</v>
      </c>
      <c r="N419" s="68"/>
      <c r="O419" s="68"/>
      <c r="P419" s="68">
        <f t="shared" si="51"/>
        <v>2.9434985057030087</v>
      </c>
      <c r="Q419" s="68">
        <f t="shared" si="52"/>
        <v>2.9003152579020215</v>
      </c>
      <c r="R419" s="68">
        <f t="shared" si="53"/>
        <v>2.8577655395174846</v>
      </c>
      <c r="S419" s="68">
        <f t="shared" si="54"/>
        <v>2.8158400562155546</v>
      </c>
      <c r="T419" s="68">
        <f t="shared" si="55"/>
        <v>2.773228181178816</v>
      </c>
      <c r="U419" s="68">
        <f t="shared" si="56"/>
        <v>95.1860173017938</v>
      </c>
    </row>
    <row r="420" spans="11:21" ht="15">
      <c r="K420">
        <f t="shared" si="58"/>
        <v>294</v>
      </c>
      <c r="L420" s="120">
        <f t="shared" si="57"/>
        <v>40772</v>
      </c>
      <c r="M420" s="118">
        <f t="shared" si="59"/>
        <v>109.48950686167493</v>
      </c>
      <c r="N420" s="68"/>
      <c r="O420" s="68"/>
      <c r="P420" s="68">
        <f t="shared" si="51"/>
        <v>2.943843789009395</v>
      </c>
      <c r="Q420" s="68">
        <f t="shared" si="52"/>
        <v>2.9006554756530645</v>
      </c>
      <c r="R420" s="68">
        <f t="shared" si="53"/>
        <v>2.8581007660285382</v>
      </c>
      <c r="S420" s="68">
        <f t="shared" si="54"/>
        <v>2.8161703647117124</v>
      </c>
      <c r="T420" s="68">
        <f t="shared" si="55"/>
        <v>2.7735534911437787</v>
      </c>
      <c r="U420" s="68">
        <f t="shared" si="56"/>
        <v>95.19718297512843</v>
      </c>
    </row>
    <row r="421" spans="11:21" ht="15">
      <c r="K421">
        <f t="shared" si="58"/>
        <v>295</v>
      </c>
      <c r="L421" s="120">
        <f t="shared" si="57"/>
        <v>40773</v>
      </c>
      <c r="M421" s="118">
        <f t="shared" si="59"/>
        <v>109.50235038745568</v>
      </c>
      <c r="N421" s="68"/>
      <c r="O421" s="68"/>
      <c r="P421" s="68">
        <f t="shared" si="51"/>
        <v>2.9441891128187936</v>
      </c>
      <c r="Q421" s="68">
        <f t="shared" si="52"/>
        <v>2.9009957333129126</v>
      </c>
      <c r="R421" s="68">
        <f t="shared" si="53"/>
        <v>2.8584360318629067</v>
      </c>
      <c r="S421" s="68">
        <f t="shared" si="54"/>
        <v>2.816500711954284</v>
      </c>
      <c r="T421" s="68">
        <f t="shared" si="55"/>
        <v>2.7738788392688085</v>
      </c>
      <c r="U421" s="68">
        <f t="shared" si="56"/>
        <v>95.20834995823797</v>
      </c>
    </row>
    <row r="422" spans="11:21" ht="15">
      <c r="K422">
        <f t="shared" si="58"/>
        <v>296</v>
      </c>
      <c r="L422" s="120">
        <f t="shared" si="57"/>
        <v>40774</v>
      </c>
      <c r="M422" s="118">
        <f t="shared" si="59"/>
        <v>109.51519541982975</v>
      </c>
      <c r="N422" s="68"/>
      <c r="O422" s="68"/>
      <c r="P422" s="68">
        <f t="shared" si="51"/>
        <v>2.9445344771359587</v>
      </c>
      <c r="Q422" s="68">
        <f t="shared" si="52"/>
        <v>2.9013360308862484</v>
      </c>
      <c r="R422" s="68">
        <f t="shared" si="53"/>
        <v>2.8587713370252024</v>
      </c>
      <c r="S422" s="68">
        <f t="shared" si="54"/>
        <v>2.816831097947814</v>
      </c>
      <c r="T422" s="68">
        <f t="shared" si="55"/>
        <v>2.774204225558382</v>
      </c>
      <c r="U422" s="68">
        <f t="shared" si="56"/>
        <v>95.21951825127614</v>
      </c>
    </row>
    <row r="423" spans="11:21" ht="15">
      <c r="K423">
        <f t="shared" si="58"/>
        <v>297</v>
      </c>
      <c r="L423" s="120">
        <f t="shared" si="57"/>
        <v>40775</v>
      </c>
      <c r="M423" s="118">
        <f t="shared" si="59"/>
        <v>109.52804195897379</v>
      </c>
      <c r="N423" s="68"/>
      <c r="O423" s="68"/>
      <c r="P423" s="68">
        <f t="shared" si="51"/>
        <v>2.94487988196564</v>
      </c>
      <c r="Q423" s="68">
        <f t="shared" si="52"/>
        <v>2.901676368377753</v>
      </c>
      <c r="R423" s="68">
        <f t="shared" si="53"/>
        <v>2.859106681520039</v>
      </c>
      <c r="S423" s="68">
        <f t="shared" si="54"/>
        <v>2.8171615226968476</v>
      </c>
      <c r="T423" s="68">
        <f t="shared" si="55"/>
        <v>2.7745296500169756</v>
      </c>
      <c r="U423" s="68">
        <f t="shared" si="56"/>
        <v>95.23068785439654</v>
      </c>
    </row>
    <row r="424" spans="11:21" ht="15">
      <c r="K424">
        <f t="shared" si="58"/>
        <v>298</v>
      </c>
      <c r="L424" s="120">
        <f t="shared" si="57"/>
        <v>40776</v>
      </c>
      <c r="M424" s="118">
        <f t="shared" si="59"/>
        <v>109.54089000506461</v>
      </c>
      <c r="N424" s="68"/>
      <c r="O424" s="68"/>
      <c r="P424" s="68">
        <f t="shared" si="51"/>
        <v>2.9452253273125915</v>
      </c>
      <c r="Q424" s="68">
        <f t="shared" si="52"/>
        <v>2.90201674579211</v>
      </c>
      <c r="R424" s="68">
        <f t="shared" si="53"/>
        <v>2.85944206535203</v>
      </c>
      <c r="S424" s="68">
        <f t="shared" si="54"/>
        <v>2.8174919862059316</v>
      </c>
      <c r="T424" s="68">
        <f t="shared" si="55"/>
        <v>2.774855112649066</v>
      </c>
      <c r="U424" s="68">
        <f t="shared" si="56"/>
        <v>95.24185876775289</v>
      </c>
    </row>
    <row r="425" spans="11:21" ht="15">
      <c r="K425">
        <f t="shared" si="58"/>
        <v>299</v>
      </c>
      <c r="L425" s="120">
        <f t="shared" si="57"/>
        <v>40777</v>
      </c>
      <c r="M425" s="118">
        <f t="shared" si="59"/>
        <v>109.55373955827893</v>
      </c>
      <c r="N425" s="68"/>
      <c r="O425" s="68"/>
      <c r="P425" s="68">
        <f t="shared" si="51"/>
        <v>2.9455708131815643</v>
      </c>
      <c r="Q425" s="68">
        <f t="shared" si="52"/>
        <v>2.902357163134001</v>
      </c>
      <c r="R425" s="68">
        <f t="shared" si="53"/>
        <v>2.8597774885257907</v>
      </c>
      <c r="S425" s="68">
        <f t="shared" si="54"/>
        <v>2.8178224884796124</v>
      </c>
      <c r="T425" s="68">
        <f t="shared" si="55"/>
        <v>2.775180613459132</v>
      </c>
      <c r="U425" s="68">
        <f t="shared" si="56"/>
        <v>95.25303099149883</v>
      </c>
    </row>
    <row r="426" spans="11:21" ht="15">
      <c r="K426">
        <f t="shared" si="58"/>
        <v>300</v>
      </c>
      <c r="L426" s="120">
        <f t="shared" si="57"/>
        <v>40778</v>
      </c>
      <c r="M426" s="118">
        <f t="shared" si="59"/>
        <v>109.56659061879357</v>
      </c>
      <c r="N426" s="68"/>
      <c r="O426" s="68"/>
      <c r="P426" s="68">
        <f t="shared" si="51"/>
        <v>2.945916339577313</v>
      </c>
      <c r="Q426" s="68">
        <f t="shared" si="52"/>
        <v>2.9026976204081105</v>
      </c>
      <c r="R426" s="68">
        <f t="shared" si="53"/>
        <v>2.860112951045935</v>
      </c>
      <c r="S426" s="68">
        <f t="shared" si="54"/>
        <v>2.818153029522437</v>
      </c>
      <c r="T426" s="68">
        <f t="shared" si="55"/>
        <v>2.7755061524516527</v>
      </c>
      <c r="U426" s="68">
        <f t="shared" si="56"/>
        <v>95.26420452578812</v>
      </c>
    </row>
    <row r="427" spans="11:21" ht="15">
      <c r="K427">
        <f t="shared" si="58"/>
        <v>301</v>
      </c>
      <c r="L427" s="120">
        <f t="shared" si="57"/>
        <v>40779</v>
      </c>
      <c r="M427" s="118">
        <f t="shared" si="59"/>
        <v>109.57944318678534</v>
      </c>
      <c r="N427" s="68"/>
      <c r="O427" s="68"/>
      <c r="P427" s="68">
        <f t="shared" si="51"/>
        <v>2.946261906504591</v>
      </c>
      <c r="Q427" s="68">
        <f t="shared" si="52"/>
        <v>2.903038117619123</v>
      </c>
      <c r="R427" s="68">
        <f t="shared" si="53"/>
        <v>2.860448452917079</v>
      </c>
      <c r="S427" s="68">
        <f t="shared" si="54"/>
        <v>2.8184836093389545</v>
      </c>
      <c r="T427" s="68">
        <f t="shared" si="55"/>
        <v>2.775831729631106</v>
      </c>
      <c r="U427" s="68">
        <f t="shared" si="56"/>
        <v>95.27537937077449</v>
      </c>
    </row>
    <row r="428" spans="11:21" ht="15">
      <c r="K428">
        <f t="shared" si="58"/>
        <v>302</v>
      </c>
      <c r="L428" s="120">
        <f t="shared" si="57"/>
        <v>40780</v>
      </c>
      <c r="M428" s="118">
        <f t="shared" si="59"/>
        <v>109.59229726243107</v>
      </c>
      <c r="N428" s="68"/>
      <c r="O428" s="68"/>
      <c r="P428" s="68">
        <f t="shared" si="51"/>
        <v>2.9466075139681536</v>
      </c>
      <c r="Q428" s="68">
        <f t="shared" si="52"/>
        <v>2.9033786547717226</v>
      </c>
      <c r="R428" s="68">
        <f t="shared" si="53"/>
        <v>2.860783994143838</v>
      </c>
      <c r="S428" s="68">
        <f t="shared" si="54"/>
        <v>2.818814227933711</v>
      </c>
      <c r="T428" s="68">
        <f t="shared" si="55"/>
        <v>2.7761573450019714</v>
      </c>
      <c r="U428" s="68">
        <f t="shared" si="56"/>
        <v>95.28655552661168</v>
      </c>
    </row>
    <row r="429" spans="11:21" ht="15">
      <c r="K429">
        <f t="shared" si="58"/>
        <v>303</v>
      </c>
      <c r="L429" s="120">
        <f t="shared" si="57"/>
        <v>40781</v>
      </c>
      <c r="M429" s="118">
        <f t="shared" si="59"/>
        <v>109.6051528459076</v>
      </c>
      <c r="N429" s="68"/>
      <c r="O429" s="68"/>
      <c r="P429" s="68">
        <f t="shared" si="51"/>
        <v>2.946953161972754</v>
      </c>
      <c r="Q429" s="68">
        <f t="shared" si="52"/>
        <v>2.9037192318705958</v>
      </c>
      <c r="R429" s="68">
        <f t="shared" si="53"/>
        <v>2.8611195747308296</v>
      </c>
      <c r="S429" s="68">
        <f t="shared" si="54"/>
        <v>2.8191448853112573</v>
      </c>
      <c r="T429" s="68">
        <f t="shared" si="55"/>
        <v>2.7764829985687287</v>
      </c>
      <c r="U429" s="68">
        <f t="shared" si="56"/>
        <v>95.29773299345344</v>
      </c>
    </row>
    <row r="430" spans="11:21" ht="15">
      <c r="K430">
        <f t="shared" si="58"/>
        <v>304</v>
      </c>
      <c r="L430" s="120">
        <f t="shared" si="57"/>
        <v>40782</v>
      </c>
      <c r="M430" s="118">
        <f t="shared" si="59"/>
        <v>109.61800993739183</v>
      </c>
      <c r="N430" s="68"/>
      <c r="O430" s="68"/>
      <c r="P430" s="68">
        <f t="shared" si="51"/>
        <v>2.9472988505231505</v>
      </c>
      <c r="Q430" s="68">
        <f t="shared" si="52"/>
        <v>2.904059848920426</v>
      </c>
      <c r="R430" s="68">
        <f t="shared" si="53"/>
        <v>2.86145519468267</v>
      </c>
      <c r="S430" s="68">
        <f t="shared" si="54"/>
        <v>2.819475581476142</v>
      </c>
      <c r="T430" s="68">
        <f t="shared" si="55"/>
        <v>2.776808690335859</v>
      </c>
      <c r="U430" s="68">
        <f t="shared" si="56"/>
        <v>95.30891177145358</v>
      </c>
    </row>
    <row r="431" spans="11:21" ht="15">
      <c r="K431">
        <f t="shared" si="58"/>
        <v>305</v>
      </c>
      <c r="L431" s="120">
        <f t="shared" si="57"/>
        <v>40783</v>
      </c>
      <c r="M431" s="118">
        <f t="shared" si="59"/>
        <v>109.63086853706064</v>
      </c>
      <c r="N431" s="68"/>
      <c r="O431" s="68"/>
      <c r="P431" s="68">
        <f t="shared" si="51"/>
        <v>2.9476445796240967</v>
      </c>
      <c r="Q431" s="68">
        <f t="shared" si="52"/>
        <v>2.9044005059259024</v>
      </c>
      <c r="R431" s="68">
        <f t="shared" si="53"/>
        <v>2.8617908540039774</v>
      </c>
      <c r="S431" s="68">
        <f t="shared" si="54"/>
        <v>2.819806316432915</v>
      </c>
      <c r="T431" s="68">
        <f t="shared" si="55"/>
        <v>2.7771344203078434</v>
      </c>
      <c r="U431" s="68">
        <f t="shared" si="56"/>
        <v>95.3200918607659</v>
      </c>
    </row>
    <row r="432" spans="11:21" ht="15">
      <c r="K432">
        <f t="shared" si="58"/>
        <v>306</v>
      </c>
      <c r="L432" s="120">
        <f t="shared" si="57"/>
        <v>40784</v>
      </c>
      <c r="M432" s="118">
        <f t="shared" si="59"/>
        <v>109.64372864509093</v>
      </c>
      <c r="N432" s="68"/>
      <c r="O432" s="68"/>
      <c r="P432" s="68">
        <f t="shared" si="51"/>
        <v>2.9479903492803503</v>
      </c>
      <c r="Q432" s="68">
        <f t="shared" si="52"/>
        <v>2.90474120289171</v>
      </c>
      <c r="R432" s="68">
        <f t="shared" si="53"/>
        <v>2.8621265526993693</v>
      </c>
      <c r="S432" s="68">
        <f t="shared" si="54"/>
        <v>2.820137090186127</v>
      </c>
      <c r="T432" s="68">
        <f t="shared" si="55"/>
        <v>2.7774601884891634</v>
      </c>
      <c r="U432" s="68">
        <f t="shared" si="56"/>
        <v>95.33127326154421</v>
      </c>
    </row>
    <row r="433" spans="11:21" ht="15">
      <c r="K433">
        <f t="shared" si="58"/>
        <v>307</v>
      </c>
      <c r="L433" s="120">
        <f t="shared" si="57"/>
        <v>40785</v>
      </c>
      <c r="M433" s="118">
        <f t="shared" si="59"/>
        <v>109.65659026165964</v>
      </c>
      <c r="N433" s="68"/>
      <c r="O433" s="68"/>
      <c r="P433" s="68">
        <f t="shared" si="51"/>
        <v>2.9483361594966695</v>
      </c>
      <c r="Q433" s="68">
        <f t="shared" si="52"/>
        <v>2.9050819398225376</v>
      </c>
      <c r="R433" s="68">
        <f t="shared" si="53"/>
        <v>2.8624622907734656</v>
      </c>
      <c r="S433" s="68">
        <f t="shared" si="54"/>
        <v>2.8204679027403277</v>
      </c>
      <c r="T433" s="68">
        <f t="shared" si="55"/>
        <v>2.7777859948843004</v>
      </c>
      <c r="U433" s="68">
        <f t="shared" si="56"/>
        <v>95.34245597394235</v>
      </c>
    </row>
    <row r="434" spans="11:21" ht="15">
      <c r="K434">
        <f t="shared" si="58"/>
        <v>308</v>
      </c>
      <c r="L434" s="120">
        <f t="shared" si="57"/>
        <v>40786</v>
      </c>
      <c r="M434" s="118">
        <f t="shared" si="59"/>
        <v>109.66945338694379</v>
      </c>
      <c r="N434" s="68"/>
      <c r="O434" s="68"/>
      <c r="P434" s="68">
        <f t="shared" si="51"/>
        <v>2.948682010277811</v>
      </c>
      <c r="Q434" s="68">
        <f t="shared" si="52"/>
        <v>2.905422716723072</v>
      </c>
      <c r="R434" s="68">
        <f t="shared" si="53"/>
        <v>2.8627980682308847</v>
      </c>
      <c r="S434" s="68">
        <f t="shared" si="54"/>
        <v>2.82079875410007</v>
      </c>
      <c r="T434" s="68">
        <f t="shared" si="55"/>
        <v>2.7781118394977375</v>
      </c>
      <c r="U434" s="68">
        <f t="shared" si="56"/>
        <v>95.3536399981142</v>
      </c>
    </row>
    <row r="435" spans="11:21" ht="15">
      <c r="K435">
        <f t="shared" si="58"/>
        <v>309</v>
      </c>
      <c r="L435" s="120">
        <f t="shared" si="57"/>
        <v>40787</v>
      </c>
      <c r="M435" s="118">
        <f t="shared" si="59"/>
        <v>109.68231802112027</v>
      </c>
      <c r="N435" s="68"/>
      <c r="O435" s="68"/>
      <c r="P435" s="68">
        <f t="shared" si="51"/>
        <v>2.9490279016285332</v>
      </c>
      <c r="Q435" s="68">
        <f t="shared" si="52"/>
        <v>2.905763533598003</v>
      </c>
      <c r="R435" s="68">
        <f t="shared" si="53"/>
        <v>2.863133885076246</v>
      </c>
      <c r="S435" s="68">
        <f t="shared" si="54"/>
        <v>2.8211296442699054</v>
      </c>
      <c r="T435" s="68">
        <f t="shared" si="55"/>
        <v>2.7784377223339582</v>
      </c>
      <c r="U435" s="68">
        <f t="shared" si="56"/>
        <v>95.36482533421362</v>
      </c>
    </row>
    <row r="436" spans="11:21" ht="15">
      <c r="K436">
        <f t="shared" si="58"/>
        <v>310</v>
      </c>
      <c r="L436" s="120">
        <f t="shared" si="57"/>
        <v>40788</v>
      </c>
      <c r="M436" s="118">
        <f t="shared" si="59"/>
        <v>109.69518416436613</v>
      </c>
      <c r="N436" s="68"/>
      <c r="O436" s="68"/>
      <c r="P436" s="68">
        <f t="shared" si="51"/>
        <v>2.949373833553596</v>
      </c>
      <c r="Q436" s="68">
        <f t="shared" si="52"/>
        <v>2.906104390452019</v>
      </c>
      <c r="R436" s="68">
        <f t="shared" si="53"/>
        <v>2.8634697413141708</v>
      </c>
      <c r="S436" s="68">
        <f t="shared" si="54"/>
        <v>2.821460573254387</v>
      </c>
      <c r="T436" s="68">
        <f t="shared" si="55"/>
        <v>2.778763643397446</v>
      </c>
      <c r="U436" s="68">
        <f t="shared" si="56"/>
        <v>95.3760119823945</v>
      </c>
    </row>
    <row r="437" spans="11:21" ht="15">
      <c r="K437">
        <f t="shared" si="58"/>
        <v>311</v>
      </c>
      <c r="L437" s="120">
        <f t="shared" si="57"/>
        <v>40789</v>
      </c>
      <c r="M437" s="118">
        <f t="shared" si="59"/>
        <v>109.70805181685837</v>
      </c>
      <c r="N437" s="68"/>
      <c r="O437" s="68"/>
      <c r="P437" s="68">
        <f t="shared" si="51"/>
        <v>2.949719806057758</v>
      </c>
      <c r="Q437" s="68">
        <f t="shared" si="52"/>
        <v>2.90644528728981</v>
      </c>
      <c r="R437" s="68">
        <f t="shared" si="53"/>
        <v>2.8638056369492797</v>
      </c>
      <c r="S437" s="68">
        <f t="shared" si="54"/>
        <v>2.821791541058068</v>
      </c>
      <c r="T437" s="68">
        <f t="shared" si="55"/>
        <v>2.7790896026926846</v>
      </c>
      <c r="U437" s="68">
        <f t="shared" si="56"/>
        <v>95.38719994281077</v>
      </c>
    </row>
    <row r="438" spans="11:21" ht="15">
      <c r="K438">
        <f t="shared" si="58"/>
        <v>312</v>
      </c>
      <c r="L438" s="120">
        <f t="shared" si="57"/>
        <v>40790</v>
      </c>
      <c r="M438" s="118">
        <f t="shared" si="59"/>
        <v>109.72092097877402</v>
      </c>
      <c r="N438" s="68"/>
      <c r="O438" s="68"/>
      <c r="P438" s="68">
        <f t="shared" si="51"/>
        <v>2.95006581914578</v>
      </c>
      <c r="Q438" s="68">
        <f t="shared" si="52"/>
        <v>2.9067862241160656</v>
      </c>
      <c r="R438" s="68">
        <f t="shared" si="53"/>
        <v>2.864141571986194</v>
      </c>
      <c r="S438" s="68">
        <f t="shared" si="54"/>
        <v>2.8221225476855003</v>
      </c>
      <c r="T438" s="68">
        <f t="shared" si="55"/>
        <v>2.779415600224159</v>
      </c>
      <c r="U438" s="68">
        <f t="shared" si="56"/>
        <v>95.39838921561632</v>
      </c>
    </row>
    <row r="439" spans="11:21" ht="15">
      <c r="K439">
        <f t="shared" si="58"/>
        <v>313</v>
      </c>
      <c r="L439" s="120">
        <f t="shared" si="57"/>
        <v>40791</v>
      </c>
      <c r="M439" s="118">
        <f t="shared" si="59"/>
        <v>109.73379165029017</v>
      </c>
      <c r="N439" s="68"/>
      <c r="O439" s="68"/>
      <c r="P439" s="68">
        <f t="shared" si="51"/>
        <v>2.950411872822422</v>
      </c>
      <c r="Q439" s="68">
        <f t="shared" si="52"/>
        <v>2.907127200935477</v>
      </c>
      <c r="R439" s="68">
        <f t="shared" si="53"/>
        <v>2.864477546429536</v>
      </c>
      <c r="S439" s="68">
        <f t="shared" si="54"/>
        <v>2.82245359314124</v>
      </c>
      <c r="T439" s="68">
        <f t="shared" si="55"/>
        <v>2.7797416359963556</v>
      </c>
      <c r="U439" s="68">
        <f t="shared" si="56"/>
        <v>95.40957980096515</v>
      </c>
    </row>
    <row r="440" spans="11:21" ht="15">
      <c r="K440">
        <f t="shared" si="58"/>
        <v>314</v>
      </c>
      <c r="L440" s="120">
        <f t="shared" si="57"/>
        <v>40792</v>
      </c>
      <c r="M440" s="118">
        <f t="shared" si="59"/>
        <v>109.74666383158389</v>
      </c>
      <c r="N440" s="68"/>
      <c r="O440" s="68"/>
      <c r="P440" s="68">
        <f t="shared" si="51"/>
        <v>2.950757967092445</v>
      </c>
      <c r="Q440" s="68">
        <f t="shared" si="52"/>
        <v>2.907468217752736</v>
      </c>
      <c r="R440" s="68">
        <f t="shared" si="53"/>
        <v>2.8648135602839275</v>
      </c>
      <c r="S440" s="68">
        <f t="shared" si="54"/>
        <v>2.8227846774298406</v>
      </c>
      <c r="T440" s="68">
        <f t="shared" si="55"/>
        <v>2.780067710013758</v>
      </c>
      <c r="U440" s="68">
        <f t="shared" si="56"/>
        <v>95.42077169901118</v>
      </c>
    </row>
    <row r="441" spans="11:21" ht="15">
      <c r="K441">
        <f t="shared" si="58"/>
        <v>315</v>
      </c>
      <c r="L441" s="120">
        <f t="shared" si="57"/>
        <v>40793</v>
      </c>
      <c r="M441" s="118">
        <f t="shared" si="59"/>
        <v>109.75953752283229</v>
      </c>
      <c r="N441" s="68"/>
      <c r="O441" s="68"/>
      <c r="P441" s="68">
        <f t="shared" si="51"/>
        <v>2.9511041019606123</v>
      </c>
      <c r="Q441" s="68">
        <f t="shared" si="52"/>
        <v>2.9078092745725344</v>
      </c>
      <c r="R441" s="68">
        <f t="shared" si="53"/>
        <v>2.8651496135539922</v>
      </c>
      <c r="S441" s="68">
        <f t="shared" si="54"/>
        <v>2.8231158005558585</v>
      </c>
      <c r="T441" s="68">
        <f t="shared" si="55"/>
        <v>2.7803938222808537</v>
      </c>
      <c r="U441" s="68">
        <f t="shared" si="56"/>
        <v>95.43196490990844</v>
      </c>
    </row>
    <row r="442" spans="11:21" ht="15">
      <c r="K442">
        <f t="shared" si="58"/>
        <v>316</v>
      </c>
      <c r="L442" s="120">
        <f t="shared" si="57"/>
        <v>40794</v>
      </c>
      <c r="M442" s="118">
        <f t="shared" si="59"/>
        <v>109.77241272421247</v>
      </c>
      <c r="N442" s="68"/>
      <c r="O442" s="68"/>
      <c r="P442" s="68">
        <f t="shared" si="51"/>
        <v>2.951450277431684</v>
      </c>
      <c r="Q442" s="68">
        <f t="shared" si="52"/>
        <v>2.9081503713995644</v>
      </c>
      <c r="R442" s="68">
        <f t="shared" si="53"/>
        <v>2.8654857062443533</v>
      </c>
      <c r="S442" s="68">
        <f t="shared" si="54"/>
        <v>2.8234469625238487</v>
      </c>
      <c r="T442" s="68">
        <f t="shared" si="55"/>
        <v>2.78071997280213</v>
      </c>
      <c r="U442" s="68">
        <f t="shared" si="56"/>
        <v>95.44315943381089</v>
      </c>
    </row>
    <row r="443" spans="11:21" ht="15">
      <c r="K443">
        <f t="shared" si="58"/>
        <v>317</v>
      </c>
      <c r="L443" s="120">
        <f t="shared" si="57"/>
        <v>40795</v>
      </c>
      <c r="M443" s="118">
        <f t="shared" si="59"/>
        <v>109.7852894359016</v>
      </c>
      <c r="N443" s="68"/>
      <c r="O443" s="68"/>
      <c r="P443" s="68">
        <f t="shared" si="51"/>
        <v>2.951796493510425</v>
      </c>
      <c r="Q443" s="68">
        <f t="shared" si="52"/>
        <v>2.908491508238518</v>
      </c>
      <c r="R443" s="68">
        <f t="shared" si="53"/>
        <v>2.8658218383596354</v>
      </c>
      <c r="S443" s="68">
        <f t="shared" si="54"/>
        <v>2.823778163338367</v>
      </c>
      <c r="T443" s="68">
        <f t="shared" si="55"/>
        <v>2.7810461615820734</v>
      </c>
      <c r="U443" s="68">
        <f t="shared" si="56"/>
        <v>95.45435527087258</v>
      </c>
    </row>
    <row r="444" spans="11:21" ht="15">
      <c r="K444">
        <f t="shared" si="58"/>
        <v>318</v>
      </c>
      <c r="L444" s="120">
        <f t="shared" si="57"/>
        <v>40796</v>
      </c>
      <c r="M444" s="118">
        <f t="shared" si="59"/>
        <v>109.79816765807682</v>
      </c>
      <c r="N444" s="68"/>
      <c r="O444" s="68"/>
      <c r="P444" s="68">
        <f t="shared" si="51"/>
        <v>2.9521427502015976</v>
      </c>
      <c r="Q444" s="68">
        <f t="shared" si="52"/>
        <v>2.908832685094091</v>
      </c>
      <c r="R444" s="68">
        <f t="shared" si="53"/>
        <v>2.866158009904463</v>
      </c>
      <c r="S444" s="68">
        <f t="shared" si="54"/>
        <v>2.824109403003972</v>
      </c>
      <c r="T444" s="68">
        <f t="shared" si="55"/>
        <v>2.781372388625172</v>
      </c>
      <c r="U444" s="68">
        <f t="shared" si="56"/>
        <v>95.46555242124752</v>
      </c>
    </row>
    <row r="445" spans="11:21" ht="15">
      <c r="K445">
        <f t="shared" si="58"/>
        <v>319</v>
      </c>
      <c r="L445" s="120">
        <f t="shared" si="57"/>
        <v>40797</v>
      </c>
      <c r="M445" s="118">
        <f t="shared" si="59"/>
        <v>109.81104739091533</v>
      </c>
      <c r="N445" s="68"/>
      <c r="O445" s="68"/>
      <c r="P445" s="68">
        <f t="shared" si="51"/>
        <v>2.9524890475099657</v>
      </c>
      <c r="Q445" s="68">
        <f t="shared" si="52"/>
        <v>2.9091739019709753</v>
      </c>
      <c r="R445" s="68">
        <f t="shared" si="53"/>
        <v>2.8664942208834616</v>
      </c>
      <c r="S445" s="68">
        <f t="shared" si="54"/>
        <v>2.824440681525219</v>
      </c>
      <c r="T445" s="68">
        <f t="shared" si="55"/>
        <v>2.7816986539359148</v>
      </c>
      <c r="U445" s="68">
        <f t="shared" si="56"/>
        <v>95.4767508850898</v>
      </c>
    </row>
    <row r="446" spans="11:21" ht="15">
      <c r="K446">
        <f t="shared" si="58"/>
        <v>320</v>
      </c>
      <c r="L446" s="120">
        <f t="shared" si="57"/>
        <v>40798</v>
      </c>
      <c r="M446" s="118">
        <f t="shared" si="59"/>
        <v>109.82392863459435</v>
      </c>
      <c r="N446" s="68"/>
      <c r="O446" s="68"/>
      <c r="P446" s="68">
        <f aca="true" t="shared" si="60" ref="P446:P455">$K$49/(1+$L$123/100)^(($J$49-K446)/252)</f>
        <v>2.9528353854402942</v>
      </c>
      <c r="Q446" s="68">
        <f aca="true" t="shared" si="61" ref="Q446:Q509">$K$50/(1+$L$123/100)^(($J$50-K446)/252)</f>
        <v>2.9095151588738672</v>
      </c>
      <c r="R446" s="68">
        <f aca="true" t="shared" si="62" ref="R446:R509">$K$51/(1+$L$123/100)^(($J$51-K446)/252)</f>
        <v>2.866830471301256</v>
      </c>
      <c r="S446" s="68">
        <f aca="true" t="shared" si="63" ref="S446:S509">$K$52/(1+$L$123/100)^(($J$52-K446)/252)</f>
        <v>2.824771998906667</v>
      </c>
      <c r="T446" s="68">
        <f aca="true" t="shared" si="64" ref="T446:T509">$K$53/(1+$L$123/100)^(($J$53-K446)/252)</f>
        <v>2.7820249575187894</v>
      </c>
      <c r="U446" s="68">
        <f aca="true" t="shared" si="65" ref="U446:U509">$K$54/(1+$L$123/100)^(($J$54-K446)/252)</f>
        <v>95.48795066255347</v>
      </c>
    </row>
    <row r="447" spans="11:21" ht="15">
      <c r="K447">
        <f t="shared" si="58"/>
        <v>321</v>
      </c>
      <c r="L447" s="120">
        <f t="shared" si="57"/>
        <v>40799</v>
      </c>
      <c r="M447" s="118">
        <f t="shared" si="59"/>
        <v>109.83681138929107</v>
      </c>
      <c r="N447" s="68"/>
      <c r="O447" s="68"/>
      <c r="P447" s="68">
        <f t="shared" si="60"/>
        <v>2.9531817639973483</v>
      </c>
      <c r="Q447" s="68">
        <f t="shared" si="61"/>
        <v>2.9098564558074607</v>
      </c>
      <c r="R447" s="68">
        <f t="shared" si="62"/>
        <v>2.8671667611624736</v>
      </c>
      <c r="S447" s="68">
        <f t="shared" si="63"/>
        <v>2.8251033551528746</v>
      </c>
      <c r="T447" s="68">
        <f t="shared" si="64"/>
        <v>2.782351299378287</v>
      </c>
      <c r="U447" s="68">
        <f t="shared" si="65"/>
        <v>95.49915175379263</v>
      </c>
    </row>
    <row r="448" spans="11:21" ht="15">
      <c r="K448">
        <f t="shared" si="58"/>
        <v>322</v>
      </c>
      <c r="L448" s="120">
        <f aca="true" t="shared" si="66" ref="L448:L511">L447+1</f>
        <v>40800</v>
      </c>
      <c r="M448" s="118">
        <f t="shared" si="59"/>
        <v>109.84969565518277</v>
      </c>
      <c r="N448" s="68"/>
      <c r="O448" s="68"/>
      <c r="P448" s="68">
        <f t="shared" si="60"/>
        <v>2.953528183185893</v>
      </c>
      <c r="Q448" s="68">
        <f t="shared" si="61"/>
        <v>2.9101977927764517</v>
      </c>
      <c r="R448" s="68">
        <f t="shared" si="62"/>
        <v>2.867503090471741</v>
      </c>
      <c r="S448" s="68">
        <f t="shared" si="63"/>
        <v>2.8254347502684003</v>
      </c>
      <c r="T448" s="68">
        <f t="shared" si="64"/>
        <v>2.7826776795188963</v>
      </c>
      <c r="U448" s="68">
        <f t="shared" si="65"/>
        <v>95.51035415896139</v>
      </c>
    </row>
    <row r="449" spans="11:21" ht="15">
      <c r="K449">
        <f t="shared" si="58"/>
        <v>323</v>
      </c>
      <c r="L449" s="120">
        <f t="shared" si="66"/>
        <v>40801</v>
      </c>
      <c r="M449" s="118">
        <f t="shared" si="59"/>
        <v>109.86258143244673</v>
      </c>
      <c r="N449" s="68"/>
      <c r="O449" s="68"/>
      <c r="P449" s="68">
        <f t="shared" si="60"/>
        <v>2.9538746430106952</v>
      </c>
      <c r="Q449" s="68">
        <f t="shared" si="61"/>
        <v>2.910539169785538</v>
      </c>
      <c r="R449" s="68">
        <f t="shared" si="62"/>
        <v>2.8678394592336853</v>
      </c>
      <c r="S449" s="68">
        <f t="shared" si="63"/>
        <v>2.8257661842578035</v>
      </c>
      <c r="T449" s="68">
        <f t="shared" si="64"/>
        <v>2.783004097945108</v>
      </c>
      <c r="U449" s="68">
        <f t="shared" si="65"/>
        <v>95.5215578782139</v>
      </c>
    </row>
    <row r="450" spans="11:21" ht="15">
      <c r="K450">
        <f t="shared" si="58"/>
        <v>324</v>
      </c>
      <c r="L450" s="120">
        <f t="shared" si="66"/>
        <v>40802</v>
      </c>
      <c r="M450" s="118">
        <f t="shared" si="59"/>
        <v>109.8754687212602</v>
      </c>
      <c r="N450" s="68"/>
      <c r="O450" s="68"/>
      <c r="P450" s="68">
        <f t="shared" si="60"/>
        <v>2.954221143476522</v>
      </c>
      <c r="Q450" s="68">
        <f t="shared" si="61"/>
        <v>2.9108805868394145</v>
      </c>
      <c r="R450" s="68">
        <f t="shared" si="62"/>
        <v>2.8681758674529343</v>
      </c>
      <c r="S450" s="68">
        <f t="shared" si="63"/>
        <v>2.826097657125645</v>
      </c>
      <c r="T450" s="68">
        <f t="shared" si="64"/>
        <v>2.7833305546614135</v>
      </c>
      <c r="U450" s="68">
        <f t="shared" si="65"/>
        <v>95.53276291170427</v>
      </c>
    </row>
    <row r="451" spans="11:21" ht="15">
      <c r="K451">
        <f t="shared" si="58"/>
        <v>325</v>
      </c>
      <c r="L451" s="120">
        <f t="shared" si="66"/>
        <v>40803</v>
      </c>
      <c r="M451" s="118">
        <f t="shared" si="59"/>
        <v>109.88835752180049</v>
      </c>
      <c r="N451" s="68"/>
      <c r="O451" s="68"/>
      <c r="P451" s="68">
        <f t="shared" si="60"/>
        <v>2.9545676845881403</v>
      </c>
      <c r="Q451" s="68">
        <f t="shared" si="61"/>
        <v>2.911222043942779</v>
      </c>
      <c r="R451" s="68">
        <f t="shared" si="62"/>
        <v>2.868512315134117</v>
      </c>
      <c r="S451" s="68">
        <f t="shared" si="63"/>
        <v>2.826429168876485</v>
      </c>
      <c r="T451" s="68">
        <f t="shared" si="64"/>
        <v>2.7836570496723048</v>
      </c>
      <c r="U451" s="68">
        <f t="shared" si="65"/>
        <v>95.54396925958666</v>
      </c>
    </row>
    <row r="452" spans="11:21" ht="15">
      <c r="K452">
        <f t="shared" si="58"/>
        <v>326</v>
      </c>
      <c r="L452" s="120">
        <f t="shared" si="66"/>
        <v>40804</v>
      </c>
      <c r="M452" s="118">
        <f t="shared" si="59"/>
        <v>109.90124783424497</v>
      </c>
      <c r="N452" s="68"/>
      <c r="O452" s="68"/>
      <c r="P452" s="68">
        <f t="shared" si="60"/>
        <v>2.9549142663503183</v>
      </c>
      <c r="Q452" s="68">
        <f t="shared" si="61"/>
        <v>2.911563541100331</v>
      </c>
      <c r="R452" s="68">
        <f t="shared" si="62"/>
        <v>2.8688488022818617</v>
      </c>
      <c r="S452" s="68">
        <f t="shared" si="63"/>
        <v>2.8267607195148843</v>
      </c>
      <c r="T452" s="68">
        <f t="shared" si="64"/>
        <v>2.7839835829822723</v>
      </c>
      <c r="U452" s="68">
        <f t="shared" si="65"/>
        <v>95.5551769220153</v>
      </c>
    </row>
    <row r="453" spans="11:21" ht="15">
      <c r="K453">
        <f t="shared" si="58"/>
        <v>327</v>
      </c>
      <c r="L453" s="120">
        <f t="shared" si="66"/>
        <v>40805</v>
      </c>
      <c r="M453" s="118">
        <f t="shared" si="59"/>
        <v>109.91413965877098</v>
      </c>
      <c r="N453" s="68"/>
      <c r="O453" s="68"/>
      <c r="P453" s="68">
        <f t="shared" si="60"/>
        <v>2.9552608887678233</v>
      </c>
      <c r="Q453" s="68">
        <f t="shared" si="61"/>
        <v>2.9119050783167673</v>
      </c>
      <c r="R453" s="68">
        <f t="shared" si="62"/>
        <v>2.8691853289007994</v>
      </c>
      <c r="S453" s="68">
        <f t="shared" si="63"/>
        <v>2.8270923090454048</v>
      </c>
      <c r="T453" s="68">
        <f t="shared" si="64"/>
        <v>2.784310154595811</v>
      </c>
      <c r="U453" s="68">
        <f t="shared" si="65"/>
        <v>95.56638589914438</v>
      </c>
    </row>
    <row r="454" spans="11:21" ht="15">
      <c r="K454">
        <f t="shared" si="58"/>
        <v>328</v>
      </c>
      <c r="L454" s="120">
        <f t="shared" si="66"/>
        <v>40806</v>
      </c>
      <c r="M454" s="118">
        <f t="shared" si="59"/>
        <v>109.92703299555588</v>
      </c>
      <c r="N454" s="68"/>
      <c r="O454" s="68"/>
      <c r="P454" s="68">
        <f t="shared" si="60"/>
        <v>2.9556075518454255</v>
      </c>
      <c r="Q454" s="68">
        <f t="shared" si="61"/>
        <v>2.9122466555967867</v>
      </c>
      <c r="R454" s="68">
        <f t="shared" si="62"/>
        <v>2.869521894995559</v>
      </c>
      <c r="S454" s="68">
        <f t="shared" si="63"/>
        <v>2.8274239374726085</v>
      </c>
      <c r="T454" s="68">
        <f t="shared" si="64"/>
        <v>2.7846367645174115</v>
      </c>
      <c r="U454" s="68">
        <f t="shared" si="65"/>
        <v>95.57759619112808</v>
      </c>
    </row>
    <row r="455" spans="11:21" ht="15">
      <c r="K455">
        <f t="shared" si="58"/>
        <v>329</v>
      </c>
      <c r="L455" s="120">
        <f t="shared" si="66"/>
        <v>40807</v>
      </c>
      <c r="M455" s="118">
        <f t="shared" si="59"/>
        <v>109.93992784477706</v>
      </c>
      <c r="N455" s="68"/>
      <c r="O455" s="68"/>
      <c r="P455" s="68">
        <f t="shared" si="60"/>
        <v>2.9559542555878946</v>
      </c>
      <c r="Q455" s="68">
        <f t="shared" si="61"/>
        <v>2.912588272945091</v>
      </c>
      <c r="R455" s="68">
        <f t="shared" si="62"/>
        <v>2.869858500570771</v>
      </c>
      <c r="S455" s="68">
        <f t="shared" si="63"/>
        <v>2.8277556048010584</v>
      </c>
      <c r="T455" s="68">
        <f t="shared" si="64"/>
        <v>2.7849634127515697</v>
      </c>
      <c r="U455" s="68">
        <f t="shared" si="65"/>
        <v>95.58880779812067</v>
      </c>
    </row>
    <row r="456" spans="11:21" ht="15">
      <c r="K456">
        <f t="shared" si="58"/>
        <v>330</v>
      </c>
      <c r="L456" s="120">
        <f t="shared" si="66"/>
        <v>40808</v>
      </c>
      <c r="M456" s="118">
        <f t="shared" si="59"/>
        <v>106.99652320661195</v>
      </c>
      <c r="N456" s="68"/>
      <c r="O456" s="68"/>
      <c r="P456" s="68"/>
      <c r="Q456" s="68">
        <f t="shared" si="61"/>
        <v>2.912929930366378</v>
      </c>
      <c r="R456" s="68">
        <f t="shared" si="62"/>
        <v>2.870195145631068</v>
      </c>
      <c r="S456" s="68">
        <f t="shared" si="63"/>
        <v>2.828087311035318</v>
      </c>
      <c r="T456" s="68">
        <f t="shared" si="64"/>
        <v>2.7852900993027787</v>
      </c>
      <c r="U456" s="68">
        <f t="shared" si="65"/>
        <v>95.6000207202764</v>
      </c>
    </row>
    <row r="457" spans="11:21" ht="15">
      <c r="K457">
        <f t="shared" si="58"/>
        <v>331</v>
      </c>
      <c r="L457" s="120">
        <f t="shared" si="66"/>
        <v>40809</v>
      </c>
      <c r="M457" s="118">
        <f t="shared" si="59"/>
        <v>107.00907429615148</v>
      </c>
      <c r="N457" s="68"/>
      <c r="O457" s="68"/>
      <c r="P457" s="68"/>
      <c r="Q457" s="68">
        <f t="shared" si="61"/>
        <v>2.9132716278653494</v>
      </c>
      <c r="R457" s="68">
        <f t="shared" si="62"/>
        <v>2.87053183018108</v>
      </c>
      <c r="S457" s="68">
        <f t="shared" si="63"/>
        <v>2.828419056179951</v>
      </c>
      <c r="T457" s="68">
        <f t="shared" si="64"/>
        <v>2.7856168241755337</v>
      </c>
      <c r="U457" s="68">
        <f t="shared" si="65"/>
        <v>95.61123495774956</v>
      </c>
    </row>
    <row r="458" spans="11:21" ht="15">
      <c r="K458">
        <f t="shared" si="58"/>
        <v>332</v>
      </c>
      <c r="L458" s="120">
        <f t="shared" si="66"/>
        <v>40810</v>
      </c>
      <c r="M458" s="118">
        <f t="shared" si="59"/>
        <v>107.0216268579804</v>
      </c>
      <c r="N458" s="68"/>
      <c r="O458" s="68"/>
      <c r="P458" s="68"/>
      <c r="Q458" s="68">
        <f t="shared" si="61"/>
        <v>2.9136133654467065</v>
      </c>
      <c r="R458" s="68">
        <f t="shared" si="62"/>
        <v>2.8708685542254404</v>
      </c>
      <c r="S458" s="68">
        <f t="shared" si="63"/>
        <v>2.828750840239521</v>
      </c>
      <c r="T458" s="68">
        <f t="shared" si="64"/>
        <v>2.785943587374329</v>
      </c>
      <c r="U458" s="68">
        <f t="shared" si="65"/>
        <v>95.62245051069439</v>
      </c>
    </row>
    <row r="459" spans="11:21" ht="15">
      <c r="K459">
        <f t="shared" si="58"/>
        <v>333</v>
      </c>
      <c r="L459" s="120">
        <f t="shared" si="66"/>
        <v>40811</v>
      </c>
      <c r="M459" s="118">
        <f t="shared" si="59"/>
        <v>107.03418089227145</v>
      </c>
      <c r="N459" s="68"/>
      <c r="O459" s="68"/>
      <c r="P459" s="68"/>
      <c r="Q459" s="68">
        <f t="shared" si="61"/>
        <v>2.9139551431151514</v>
      </c>
      <c r="R459" s="68">
        <f t="shared" si="62"/>
        <v>2.8712053177687813</v>
      </c>
      <c r="S459" s="68">
        <f t="shared" si="63"/>
        <v>2.8290826632185935</v>
      </c>
      <c r="T459" s="68">
        <f t="shared" si="64"/>
        <v>2.7862703889036613</v>
      </c>
      <c r="U459" s="68">
        <f t="shared" si="65"/>
        <v>95.63366737926526</v>
      </c>
    </row>
    <row r="460" spans="11:21" ht="15">
      <c r="K460">
        <f t="shared" si="58"/>
        <v>334</v>
      </c>
      <c r="L460" s="120">
        <f t="shared" si="66"/>
        <v>40812</v>
      </c>
      <c r="M460" s="118">
        <f t="shared" si="59"/>
        <v>107.04673639919734</v>
      </c>
      <c r="N460" s="68"/>
      <c r="O460" s="68"/>
      <c r="P460" s="68"/>
      <c r="Q460" s="68">
        <f t="shared" si="61"/>
        <v>2.9142969608753857</v>
      </c>
      <c r="R460" s="68">
        <f t="shared" si="62"/>
        <v>2.8715421208157372</v>
      </c>
      <c r="S460" s="68">
        <f t="shared" si="63"/>
        <v>2.829414525121734</v>
      </c>
      <c r="T460" s="68">
        <f t="shared" si="64"/>
        <v>2.786597228768027</v>
      </c>
      <c r="U460" s="68">
        <f t="shared" si="65"/>
        <v>95.64488556361646</v>
      </c>
    </row>
    <row r="461" spans="11:21" ht="15">
      <c r="K461">
        <f t="shared" si="58"/>
        <v>335</v>
      </c>
      <c r="L461" s="120">
        <f t="shared" si="66"/>
        <v>40813</v>
      </c>
      <c r="M461" s="118">
        <f t="shared" si="59"/>
        <v>107.05929337893082</v>
      </c>
      <c r="N461" s="68"/>
      <c r="O461" s="68"/>
      <c r="P461" s="68"/>
      <c r="Q461" s="68">
        <f t="shared" si="61"/>
        <v>2.9146388187321133</v>
      </c>
      <c r="R461" s="68">
        <f t="shared" si="62"/>
        <v>2.871878963370941</v>
      </c>
      <c r="S461" s="68">
        <f t="shared" si="63"/>
        <v>2.8297464259535077</v>
      </c>
      <c r="T461" s="68">
        <f t="shared" si="64"/>
        <v>2.7869241069719224</v>
      </c>
      <c r="U461" s="68">
        <f t="shared" si="65"/>
        <v>95.65610506390233</v>
      </c>
    </row>
    <row r="462" spans="11:21" ht="15">
      <c r="K462">
        <f t="shared" si="58"/>
        <v>336</v>
      </c>
      <c r="L462" s="120">
        <f t="shared" si="66"/>
        <v>40814</v>
      </c>
      <c r="M462" s="118">
        <f t="shared" si="59"/>
        <v>107.07185183164466</v>
      </c>
      <c r="N462" s="68"/>
      <c r="O462" s="68"/>
      <c r="P462" s="68"/>
      <c r="Q462" s="68">
        <f t="shared" si="61"/>
        <v>2.9149807166900366</v>
      </c>
      <c r="R462" s="68">
        <f t="shared" si="62"/>
        <v>2.8722158454390274</v>
      </c>
      <c r="S462" s="68">
        <f t="shared" si="63"/>
        <v>2.830078365718482</v>
      </c>
      <c r="T462" s="68">
        <f t="shared" si="64"/>
        <v>2.7872510235198447</v>
      </c>
      <c r="U462" s="68">
        <f t="shared" si="65"/>
        <v>95.66732588027728</v>
      </c>
    </row>
    <row r="463" spans="11:21" ht="15">
      <c r="K463">
        <f t="shared" si="58"/>
        <v>337</v>
      </c>
      <c r="L463" s="120">
        <f t="shared" si="66"/>
        <v>40815</v>
      </c>
      <c r="M463" s="118">
        <f t="shared" si="59"/>
        <v>107.08441175751166</v>
      </c>
      <c r="N463" s="68"/>
      <c r="O463" s="68"/>
      <c r="P463" s="68"/>
      <c r="Q463" s="68">
        <f t="shared" si="61"/>
        <v>2.91532265475386</v>
      </c>
      <c r="R463" s="68">
        <f t="shared" si="62"/>
        <v>2.8725527670246316</v>
      </c>
      <c r="S463" s="68">
        <f t="shared" si="63"/>
        <v>2.8304103444212236</v>
      </c>
      <c r="T463" s="68">
        <f t="shared" si="64"/>
        <v>2.7875779784162926</v>
      </c>
      <c r="U463" s="68">
        <f t="shared" si="65"/>
        <v>95.67854801289565</v>
      </c>
    </row>
    <row r="464" spans="11:21" ht="15">
      <c r="K464">
        <f t="shared" si="58"/>
        <v>338</v>
      </c>
      <c r="L464" s="120">
        <f t="shared" si="66"/>
        <v>40816</v>
      </c>
      <c r="M464" s="118">
        <f t="shared" si="59"/>
        <v>107.0969731567046</v>
      </c>
      <c r="N464" s="68"/>
      <c r="O464" s="68"/>
      <c r="P464" s="68"/>
      <c r="Q464" s="68">
        <f t="shared" si="61"/>
        <v>2.915664632928289</v>
      </c>
      <c r="R464" s="68">
        <f t="shared" si="62"/>
        <v>2.8728897281323893</v>
      </c>
      <c r="S464" s="68">
        <f t="shared" si="63"/>
        <v>2.8307423620662995</v>
      </c>
      <c r="T464" s="68">
        <f t="shared" si="64"/>
        <v>2.787904971665764</v>
      </c>
      <c r="U464" s="68">
        <f t="shared" si="65"/>
        <v>95.68977146191186</v>
      </c>
    </row>
    <row r="465" spans="11:21" ht="15">
      <c r="K465">
        <f t="shared" si="58"/>
        <v>339</v>
      </c>
      <c r="L465" s="120">
        <f t="shared" si="66"/>
        <v>40817</v>
      </c>
      <c r="M465" s="118">
        <f t="shared" si="59"/>
        <v>107.10953602939631</v>
      </c>
      <c r="N465" s="68"/>
      <c r="O465" s="68"/>
      <c r="P465" s="68"/>
      <c r="Q465" s="68">
        <f t="shared" si="61"/>
        <v>2.9160066512180274</v>
      </c>
      <c r="R465" s="68">
        <f t="shared" si="62"/>
        <v>2.8732267287669364</v>
      </c>
      <c r="S465" s="68">
        <f t="shared" si="63"/>
        <v>2.831074418658279</v>
      </c>
      <c r="T465" s="68">
        <f t="shared" si="64"/>
        <v>2.788232003272758</v>
      </c>
      <c r="U465" s="68">
        <f t="shared" si="65"/>
        <v>95.7009962274803</v>
      </c>
    </row>
    <row r="466" spans="11:21" ht="15">
      <c r="K466">
        <f t="shared" si="58"/>
        <v>340</v>
      </c>
      <c r="L466" s="120">
        <f t="shared" si="66"/>
        <v>40818</v>
      </c>
      <c r="M466" s="118">
        <f t="shared" si="59"/>
        <v>107.12210037575966</v>
      </c>
      <c r="N466" s="68"/>
      <c r="O466" s="68"/>
      <c r="P466" s="68"/>
      <c r="Q466" s="68">
        <f t="shared" si="61"/>
        <v>2.9163487096277816</v>
      </c>
      <c r="R466" s="68">
        <f t="shared" si="62"/>
        <v>2.873563768932909</v>
      </c>
      <c r="S466" s="68">
        <f t="shared" si="63"/>
        <v>2.831406514201729</v>
      </c>
      <c r="T466" s="68">
        <f t="shared" si="64"/>
        <v>2.788559073241774</v>
      </c>
      <c r="U466" s="68">
        <f t="shared" si="65"/>
        <v>95.71222230975546</v>
      </c>
    </row>
    <row r="467" spans="11:21" ht="15">
      <c r="K467">
        <f t="shared" si="58"/>
        <v>341</v>
      </c>
      <c r="L467" s="120">
        <f t="shared" si="66"/>
        <v>40819</v>
      </c>
      <c r="M467" s="118">
        <f t="shared" si="59"/>
        <v>107.13466619596748</v>
      </c>
      <c r="N467" s="68"/>
      <c r="O467" s="68"/>
      <c r="P467" s="68"/>
      <c r="Q467" s="68">
        <f t="shared" si="61"/>
        <v>2.916690808162257</v>
      </c>
      <c r="R467" s="68">
        <f t="shared" si="62"/>
        <v>2.8739008486349453</v>
      </c>
      <c r="S467" s="68">
        <f t="shared" si="63"/>
        <v>2.8317386487012204</v>
      </c>
      <c r="T467" s="68">
        <f t="shared" si="64"/>
        <v>2.7888861815773125</v>
      </c>
      <c r="U467" s="68">
        <f t="shared" si="65"/>
        <v>95.72344970889175</v>
      </c>
    </row>
    <row r="468" spans="11:21" ht="15">
      <c r="K468">
        <f t="shared" si="58"/>
        <v>342</v>
      </c>
      <c r="L468" s="120">
        <f t="shared" si="66"/>
        <v>40820</v>
      </c>
      <c r="M468" s="118">
        <f t="shared" si="59"/>
        <v>107.14723349019269</v>
      </c>
      <c r="N468" s="68"/>
      <c r="O468" s="68"/>
      <c r="P468" s="68"/>
      <c r="Q468" s="68">
        <f t="shared" si="61"/>
        <v>2.9170329468261613</v>
      </c>
      <c r="R468" s="68">
        <f t="shared" si="62"/>
        <v>2.8742379678776824</v>
      </c>
      <c r="S468" s="68">
        <f t="shared" si="63"/>
        <v>2.8320708221613216</v>
      </c>
      <c r="T468" s="68">
        <f t="shared" si="64"/>
        <v>2.789213328283873</v>
      </c>
      <c r="U468" s="68">
        <f t="shared" si="65"/>
        <v>95.73467842504365</v>
      </c>
    </row>
    <row r="469" spans="11:21" ht="15">
      <c r="K469">
        <f t="shared" si="58"/>
        <v>343</v>
      </c>
      <c r="L469" s="120">
        <f t="shared" si="66"/>
        <v>40821</v>
      </c>
      <c r="M469" s="118">
        <f t="shared" si="59"/>
        <v>107.15980225860817</v>
      </c>
      <c r="N469" s="68"/>
      <c r="O469" s="68"/>
      <c r="P469" s="68"/>
      <c r="Q469" s="68">
        <f t="shared" si="61"/>
        <v>2.9173751256242015</v>
      </c>
      <c r="R469" s="68">
        <f t="shared" si="62"/>
        <v>2.874575126665759</v>
      </c>
      <c r="S469" s="68">
        <f t="shared" si="63"/>
        <v>2.8324030345866036</v>
      </c>
      <c r="T469" s="68">
        <f t="shared" si="64"/>
        <v>2.789540513365958</v>
      </c>
      <c r="U469" s="68">
        <f t="shared" si="65"/>
        <v>95.74590845836565</v>
      </c>
    </row>
    <row r="470" spans="11:21" ht="15">
      <c r="K470">
        <f t="shared" si="58"/>
        <v>344</v>
      </c>
      <c r="L470" s="120">
        <f t="shared" si="66"/>
        <v>40822</v>
      </c>
      <c r="M470" s="118">
        <f t="shared" si="59"/>
        <v>107.17237250138686</v>
      </c>
      <c r="N470" s="68"/>
      <c r="O470" s="68"/>
      <c r="P470" s="68"/>
      <c r="Q470" s="68">
        <f t="shared" si="61"/>
        <v>2.917717344561085</v>
      </c>
      <c r="R470" s="68">
        <f t="shared" si="62"/>
        <v>2.8749123250038124</v>
      </c>
      <c r="S470" s="68">
        <f t="shared" si="63"/>
        <v>2.8327352859816366</v>
      </c>
      <c r="T470" s="68">
        <f t="shared" si="64"/>
        <v>2.789867736828067</v>
      </c>
      <c r="U470" s="68">
        <f t="shared" si="65"/>
        <v>95.75713980901226</v>
      </c>
    </row>
    <row r="471" spans="11:21" ht="15">
      <c r="K471">
        <f t="shared" si="58"/>
        <v>345</v>
      </c>
      <c r="L471" s="120">
        <f t="shared" si="66"/>
        <v>40823</v>
      </c>
      <c r="M471" s="118">
        <f t="shared" si="59"/>
        <v>107.18494421870173</v>
      </c>
      <c r="N471" s="68"/>
      <c r="O471" s="68"/>
      <c r="P471" s="68"/>
      <c r="Q471" s="68">
        <f t="shared" si="61"/>
        <v>2.918059603641522</v>
      </c>
      <c r="R471" s="68">
        <f t="shared" si="62"/>
        <v>2.875249562896484</v>
      </c>
      <c r="S471" s="68">
        <f t="shared" si="63"/>
        <v>2.833067576350992</v>
      </c>
      <c r="T471" s="68">
        <f t="shared" si="64"/>
        <v>2.7901949986747043</v>
      </c>
      <c r="U471" s="68">
        <f t="shared" si="65"/>
        <v>95.76837247713803</v>
      </c>
    </row>
    <row r="472" spans="11:21" ht="15">
      <c r="K472">
        <f t="shared" si="58"/>
        <v>346</v>
      </c>
      <c r="L472" s="120">
        <f t="shared" si="66"/>
        <v>40824</v>
      </c>
      <c r="M472" s="118">
        <f t="shared" si="59"/>
        <v>107.19751741072575</v>
      </c>
      <c r="N472" s="68"/>
      <c r="O472" s="68"/>
      <c r="P472" s="68"/>
      <c r="Q472" s="68">
        <f t="shared" si="61"/>
        <v>2.9184019028702193</v>
      </c>
      <c r="R472" s="68">
        <f t="shared" si="62"/>
        <v>2.875586840348413</v>
      </c>
      <c r="S472" s="68">
        <f t="shared" si="63"/>
        <v>2.833399905699242</v>
      </c>
      <c r="T472" s="68">
        <f t="shared" si="64"/>
        <v>2.790522298910371</v>
      </c>
      <c r="U472" s="68">
        <f t="shared" si="65"/>
        <v>95.7796064628975</v>
      </c>
    </row>
    <row r="473" spans="11:21" ht="15">
      <c r="K473">
        <f t="shared" si="58"/>
        <v>347</v>
      </c>
      <c r="L473" s="120">
        <f t="shared" si="66"/>
        <v>40825</v>
      </c>
      <c r="M473" s="118">
        <f t="shared" si="59"/>
        <v>107.21009207763186</v>
      </c>
      <c r="N473" s="68"/>
      <c r="O473" s="68"/>
      <c r="P473" s="68"/>
      <c r="Q473" s="68">
        <f t="shared" si="61"/>
        <v>2.9187442422518877</v>
      </c>
      <c r="R473" s="68">
        <f t="shared" si="62"/>
        <v>2.8759241573642393</v>
      </c>
      <c r="S473" s="68">
        <f t="shared" si="63"/>
        <v>2.8337322740309587</v>
      </c>
      <c r="T473" s="68">
        <f t="shared" si="64"/>
        <v>2.790849637539571</v>
      </c>
      <c r="U473" s="68">
        <f t="shared" si="65"/>
        <v>95.7908417664452</v>
      </c>
    </row>
    <row r="474" spans="11:21" ht="15">
      <c r="K474">
        <f t="shared" si="58"/>
        <v>348</v>
      </c>
      <c r="L474" s="120">
        <f t="shared" si="66"/>
        <v>40826</v>
      </c>
      <c r="M474" s="118">
        <f t="shared" si="59"/>
        <v>107.2226682195931</v>
      </c>
      <c r="N474" s="68"/>
      <c r="O474" s="68"/>
      <c r="P474" s="68"/>
      <c r="Q474" s="68">
        <f t="shared" si="61"/>
        <v>2.9190866217912372</v>
      </c>
      <c r="R474" s="68">
        <f t="shared" si="62"/>
        <v>2.8762615139486045</v>
      </c>
      <c r="S474" s="68">
        <f t="shared" si="63"/>
        <v>2.8340646813507155</v>
      </c>
      <c r="T474" s="68">
        <f t="shared" si="64"/>
        <v>2.7911770145668084</v>
      </c>
      <c r="U474" s="68">
        <f t="shared" si="65"/>
        <v>95.80207838793574</v>
      </c>
    </row>
    <row r="475" spans="11:21" ht="15">
      <c r="K475">
        <f t="shared" si="58"/>
        <v>349</v>
      </c>
      <c r="L475" s="120">
        <f t="shared" si="66"/>
        <v>40827</v>
      </c>
      <c r="M475" s="118">
        <f t="shared" si="59"/>
        <v>107.23524583678251</v>
      </c>
      <c r="N475" s="68"/>
      <c r="O475" s="68"/>
      <c r="P475" s="68"/>
      <c r="Q475" s="68">
        <f t="shared" si="61"/>
        <v>2.919429041492978</v>
      </c>
      <c r="R475" s="68">
        <f t="shared" si="62"/>
        <v>2.87659891010615</v>
      </c>
      <c r="S475" s="68">
        <f t="shared" si="63"/>
        <v>2.834397127663085</v>
      </c>
      <c r="T475" s="68">
        <f t="shared" si="64"/>
        <v>2.7915044299965865</v>
      </c>
      <c r="U475" s="68">
        <f t="shared" si="65"/>
        <v>95.81331632752371</v>
      </c>
    </row>
    <row r="476" spans="11:21" ht="15">
      <c r="K476">
        <f t="shared" si="58"/>
        <v>350</v>
      </c>
      <c r="L476" s="120">
        <f t="shared" si="66"/>
        <v>40828</v>
      </c>
      <c r="M476" s="118">
        <f t="shared" si="59"/>
        <v>107.24782492937311</v>
      </c>
      <c r="N476" s="68"/>
      <c r="O476" s="68"/>
      <c r="P476" s="68"/>
      <c r="Q476" s="68">
        <f t="shared" si="61"/>
        <v>2.9197715013618213</v>
      </c>
      <c r="R476" s="68">
        <f t="shared" si="62"/>
        <v>2.876936345841518</v>
      </c>
      <c r="S476" s="68">
        <f t="shared" si="63"/>
        <v>2.834729612972642</v>
      </c>
      <c r="T476" s="68">
        <f t="shared" si="64"/>
        <v>2.79183188383341</v>
      </c>
      <c r="U476" s="68">
        <f t="shared" si="65"/>
        <v>95.82455558536373</v>
      </c>
    </row>
    <row r="477" spans="11:21" ht="15">
      <c r="K477">
        <f t="shared" si="58"/>
        <v>351</v>
      </c>
      <c r="L477" s="120">
        <f t="shared" si="66"/>
        <v>40829</v>
      </c>
      <c r="M477" s="118">
        <f t="shared" si="59"/>
        <v>107.26040549753799</v>
      </c>
      <c r="N477" s="68"/>
      <c r="O477" s="68"/>
      <c r="P477" s="68"/>
      <c r="Q477" s="68">
        <f t="shared" si="61"/>
        <v>2.920114001402479</v>
      </c>
      <c r="R477" s="68">
        <f t="shared" si="62"/>
        <v>2.87727382115935</v>
      </c>
      <c r="S477" s="68">
        <f t="shared" si="63"/>
        <v>2.83506213728396</v>
      </c>
      <c r="T477" s="68">
        <f t="shared" si="64"/>
        <v>2.792159376081786</v>
      </c>
      <c r="U477" s="68">
        <f t="shared" si="65"/>
        <v>95.83579616161042</v>
      </c>
    </row>
    <row r="478" spans="11:21" ht="15">
      <c r="K478">
        <f t="shared" si="58"/>
        <v>352</v>
      </c>
      <c r="L478" s="120">
        <f t="shared" si="66"/>
        <v>40830</v>
      </c>
      <c r="M478" s="118">
        <f t="shared" si="59"/>
        <v>107.27298754145026</v>
      </c>
      <c r="N478" s="68"/>
      <c r="O478" s="68"/>
      <c r="P478" s="68"/>
      <c r="Q478" s="68">
        <f t="shared" si="61"/>
        <v>2.9204565416196635</v>
      </c>
      <c r="R478" s="68">
        <f t="shared" si="62"/>
        <v>2.8776113360642914</v>
      </c>
      <c r="S478" s="68">
        <f t="shared" si="63"/>
        <v>2.835394700601615</v>
      </c>
      <c r="T478" s="68">
        <f t="shared" si="64"/>
        <v>2.792486906746218</v>
      </c>
      <c r="U478" s="68">
        <f t="shared" si="65"/>
        <v>95.84703805641847</v>
      </c>
    </row>
    <row r="479" spans="11:21" ht="15">
      <c r="K479">
        <f t="shared" si="58"/>
        <v>353</v>
      </c>
      <c r="L479" s="120">
        <f t="shared" si="66"/>
        <v>40831</v>
      </c>
      <c r="M479" s="118">
        <f t="shared" si="59"/>
        <v>107.285571061283</v>
      </c>
      <c r="N479" s="68"/>
      <c r="O479" s="68"/>
      <c r="P479" s="68"/>
      <c r="Q479" s="68">
        <f t="shared" si="61"/>
        <v>2.9207991220180873</v>
      </c>
      <c r="R479" s="68">
        <f t="shared" si="62"/>
        <v>2.8779488905609836</v>
      </c>
      <c r="S479" s="68">
        <f t="shared" si="63"/>
        <v>2.835727302930182</v>
      </c>
      <c r="T479" s="68">
        <f t="shared" si="64"/>
        <v>2.7928144758312134</v>
      </c>
      <c r="U479" s="68">
        <f t="shared" si="65"/>
        <v>95.85828126994252</v>
      </c>
    </row>
    <row r="480" spans="11:21" ht="15">
      <c r="K480">
        <f t="shared" si="58"/>
        <v>354</v>
      </c>
      <c r="L480" s="120">
        <f t="shared" si="66"/>
        <v>40832</v>
      </c>
      <c r="M480" s="118">
        <f t="shared" si="59"/>
        <v>107.29815605720933</v>
      </c>
      <c r="N480" s="68"/>
      <c r="O480" s="68"/>
      <c r="P480" s="68"/>
      <c r="Q480" s="68">
        <f t="shared" si="61"/>
        <v>2.921141742602465</v>
      </c>
      <c r="R480" s="68">
        <f t="shared" si="62"/>
        <v>2.8782864846540726</v>
      </c>
      <c r="S480" s="68">
        <f t="shared" si="63"/>
        <v>2.836059944274238</v>
      </c>
      <c r="T480" s="68">
        <f t="shared" si="64"/>
        <v>2.7931420833412792</v>
      </c>
      <c r="U480" s="68">
        <f t="shared" si="65"/>
        <v>95.86952580233726</v>
      </c>
    </row>
    <row r="481" spans="11:21" ht="15">
      <c r="K481">
        <f t="shared" si="58"/>
        <v>355</v>
      </c>
      <c r="L481" s="120">
        <f t="shared" si="66"/>
        <v>40833</v>
      </c>
      <c r="M481" s="118">
        <f t="shared" si="59"/>
        <v>107.31074252940243</v>
      </c>
      <c r="N481" s="68"/>
      <c r="O481" s="68"/>
      <c r="P481" s="68"/>
      <c r="Q481" s="68">
        <f t="shared" si="61"/>
        <v>2.921484403377509</v>
      </c>
      <c r="R481" s="68">
        <f t="shared" si="62"/>
        <v>2.8786241183482018</v>
      </c>
      <c r="S481" s="68">
        <f t="shared" si="63"/>
        <v>2.836392624638358</v>
      </c>
      <c r="T481" s="68">
        <f t="shared" si="64"/>
        <v>2.7934697292809227</v>
      </c>
      <c r="U481" s="68">
        <f t="shared" si="65"/>
        <v>95.88077165375744</v>
      </c>
    </row>
    <row r="482" spans="11:21" ht="15">
      <c r="K482">
        <f aca="true" t="shared" si="67" ref="K482:K545">K481+1</f>
        <v>356</v>
      </c>
      <c r="L482" s="120">
        <f t="shared" si="66"/>
        <v>40834</v>
      </c>
      <c r="M482" s="118">
        <f aca="true" t="shared" si="68" ref="M482:M545">SUM(N482:U482)</f>
        <v>107.32333047803546</v>
      </c>
      <c r="N482" s="68"/>
      <c r="O482" s="68"/>
      <c r="P482" s="68"/>
      <c r="Q482" s="68">
        <f t="shared" si="61"/>
        <v>2.9218271043479347</v>
      </c>
      <c r="R482" s="68">
        <f t="shared" si="62"/>
        <v>2.8789617916480177</v>
      </c>
      <c r="S482" s="68">
        <f t="shared" si="63"/>
        <v>2.8367253440271214</v>
      </c>
      <c r="T482" s="68">
        <f t="shared" si="64"/>
        <v>2.7937974136546515</v>
      </c>
      <c r="U482" s="68">
        <f t="shared" si="65"/>
        <v>95.89201882435773</v>
      </c>
    </row>
    <row r="483" spans="11:21" ht="15">
      <c r="K483">
        <f t="shared" si="67"/>
        <v>357</v>
      </c>
      <c r="L483" s="120">
        <f t="shared" si="66"/>
        <v>40835</v>
      </c>
      <c r="M483" s="118">
        <f t="shared" si="68"/>
        <v>107.33591990328163</v>
      </c>
      <c r="N483" s="68"/>
      <c r="O483" s="68"/>
      <c r="P483" s="68"/>
      <c r="Q483" s="68">
        <f t="shared" si="61"/>
        <v>2.9221698455184573</v>
      </c>
      <c r="R483" s="68">
        <f t="shared" si="62"/>
        <v>2.879299504558165</v>
      </c>
      <c r="S483" s="68">
        <f t="shared" si="63"/>
        <v>2.8370581024451043</v>
      </c>
      <c r="T483" s="68">
        <f t="shared" si="64"/>
        <v>2.794125136466974</v>
      </c>
      <c r="U483" s="68">
        <f t="shared" si="65"/>
        <v>95.90326731429293</v>
      </c>
    </row>
    <row r="484" spans="11:21" ht="15">
      <c r="K484">
        <f t="shared" si="67"/>
        <v>358</v>
      </c>
      <c r="L484" s="120">
        <f t="shared" si="66"/>
        <v>40836</v>
      </c>
      <c r="M484" s="118">
        <f t="shared" si="68"/>
        <v>107.3485108053141</v>
      </c>
      <c r="N484" s="68"/>
      <c r="O484" s="68"/>
      <c r="P484" s="68"/>
      <c r="Q484" s="68">
        <f t="shared" si="61"/>
        <v>2.9225126268937918</v>
      </c>
      <c r="R484" s="68">
        <f t="shared" si="62"/>
        <v>2.8796372570832918</v>
      </c>
      <c r="S484" s="68">
        <f t="shared" si="63"/>
        <v>2.837390899896885</v>
      </c>
      <c r="T484" s="68">
        <f t="shared" si="64"/>
        <v>2.7944528977224</v>
      </c>
      <c r="U484" s="68">
        <f t="shared" si="65"/>
        <v>95.91451712371774</v>
      </c>
    </row>
    <row r="485" spans="11:21" ht="15">
      <c r="K485">
        <f t="shared" si="67"/>
        <v>359</v>
      </c>
      <c r="L485" s="120">
        <f t="shared" si="66"/>
        <v>40837</v>
      </c>
      <c r="M485" s="118">
        <f t="shared" si="68"/>
        <v>107.36110318430619</v>
      </c>
      <c r="N485" s="68"/>
      <c r="O485" s="68"/>
      <c r="P485" s="68"/>
      <c r="Q485" s="68">
        <f t="shared" si="61"/>
        <v>2.9228554484786544</v>
      </c>
      <c r="R485" s="68">
        <f t="shared" si="62"/>
        <v>2.879975049228044</v>
      </c>
      <c r="S485" s="68">
        <f t="shared" si="63"/>
        <v>2.8377237363870433</v>
      </c>
      <c r="T485" s="68">
        <f t="shared" si="64"/>
        <v>2.7947806974254386</v>
      </c>
      <c r="U485" s="68">
        <f t="shared" si="65"/>
        <v>95.92576825278701</v>
      </c>
    </row>
    <row r="486" spans="11:21" ht="15">
      <c r="K486">
        <f t="shared" si="67"/>
        <v>360</v>
      </c>
      <c r="L486" s="120">
        <f t="shared" si="66"/>
        <v>40838</v>
      </c>
      <c r="M486" s="118">
        <f t="shared" si="68"/>
        <v>107.37369704043108</v>
      </c>
      <c r="N486" s="68"/>
      <c r="O486" s="68"/>
      <c r="P486" s="68"/>
      <c r="Q486" s="68">
        <f t="shared" si="61"/>
        <v>2.9231983102777623</v>
      </c>
      <c r="R486" s="68">
        <f t="shared" si="62"/>
        <v>2.880312880997069</v>
      </c>
      <c r="S486" s="68">
        <f t="shared" si="63"/>
        <v>2.838056611920158</v>
      </c>
      <c r="T486" s="68">
        <f t="shared" si="64"/>
        <v>2.7951085355805994</v>
      </c>
      <c r="U486" s="68">
        <f t="shared" si="65"/>
        <v>95.9370207016555</v>
      </c>
    </row>
    <row r="487" spans="11:21" ht="15">
      <c r="K487">
        <f t="shared" si="67"/>
        <v>361</v>
      </c>
      <c r="L487" s="120">
        <f t="shared" si="66"/>
        <v>40839</v>
      </c>
      <c r="M487" s="118">
        <f t="shared" si="68"/>
        <v>107.38629237386205</v>
      </c>
      <c r="N487" s="68"/>
      <c r="O487" s="68"/>
      <c r="P487" s="68"/>
      <c r="Q487" s="68">
        <f t="shared" si="61"/>
        <v>2.9235412122958326</v>
      </c>
      <c r="R487" s="68">
        <f t="shared" si="62"/>
        <v>2.8806507523950153</v>
      </c>
      <c r="S487" s="68">
        <f t="shared" si="63"/>
        <v>2.838389526500808</v>
      </c>
      <c r="T487" s="68">
        <f t="shared" si="64"/>
        <v>2.7954364121923936</v>
      </c>
      <c r="U487" s="68">
        <f t="shared" si="65"/>
        <v>95.948274470478</v>
      </c>
    </row>
    <row r="488" spans="11:21" ht="15">
      <c r="K488">
        <f t="shared" si="67"/>
        <v>362</v>
      </c>
      <c r="L488" s="120">
        <f t="shared" si="66"/>
        <v>40840</v>
      </c>
      <c r="M488" s="118">
        <f t="shared" si="68"/>
        <v>107.39888918477241</v>
      </c>
      <c r="N488" s="68"/>
      <c r="O488" s="68"/>
      <c r="P488" s="68"/>
      <c r="Q488" s="68">
        <f t="shared" si="61"/>
        <v>2.9238841545375833</v>
      </c>
      <c r="R488" s="68">
        <f t="shared" si="62"/>
        <v>2.8809886634265314</v>
      </c>
      <c r="S488" s="68">
        <f t="shared" si="63"/>
        <v>2.8387224801335758</v>
      </c>
      <c r="T488" s="68">
        <f t="shared" si="64"/>
        <v>2.795764327265332</v>
      </c>
      <c r="U488" s="68">
        <f t="shared" si="65"/>
        <v>95.95952955940939</v>
      </c>
    </row>
    <row r="489" spans="11:21" ht="15">
      <c r="K489">
        <f t="shared" si="67"/>
        <v>363</v>
      </c>
      <c r="L489" s="120">
        <f t="shared" si="66"/>
        <v>40841</v>
      </c>
      <c r="M489" s="118">
        <f t="shared" si="68"/>
        <v>107.41148747333551</v>
      </c>
      <c r="N489" s="68"/>
      <c r="O489" s="68"/>
      <c r="P489" s="68"/>
      <c r="Q489" s="68">
        <f t="shared" si="61"/>
        <v>2.924227137007732</v>
      </c>
      <c r="R489" s="68">
        <f t="shared" si="62"/>
        <v>2.8813266140962663</v>
      </c>
      <c r="S489" s="68">
        <f t="shared" si="63"/>
        <v>2.839055472823041</v>
      </c>
      <c r="T489" s="68">
        <f t="shared" si="64"/>
        <v>2.796092280803926</v>
      </c>
      <c r="U489" s="68">
        <f t="shared" si="65"/>
        <v>95.97078596860455</v>
      </c>
    </row>
    <row r="490" spans="11:21" ht="15">
      <c r="K490">
        <f t="shared" si="67"/>
        <v>364</v>
      </c>
      <c r="L490" s="120">
        <f t="shared" si="66"/>
        <v>40842</v>
      </c>
      <c r="M490" s="118">
        <f t="shared" si="68"/>
        <v>107.4240872397246</v>
      </c>
      <c r="N490" s="68"/>
      <c r="O490" s="68"/>
      <c r="P490" s="68"/>
      <c r="Q490" s="68">
        <f t="shared" si="61"/>
        <v>2.9245701597109988</v>
      </c>
      <c r="R490" s="68">
        <f t="shared" si="62"/>
        <v>2.8816646044088703</v>
      </c>
      <c r="S490" s="68">
        <f t="shared" si="63"/>
        <v>2.839388504573785</v>
      </c>
      <c r="T490" s="68">
        <f t="shared" si="64"/>
        <v>2.7964202728126883</v>
      </c>
      <c r="U490" s="68">
        <f t="shared" si="65"/>
        <v>95.98204369821826</v>
      </c>
    </row>
    <row r="491" spans="11:21" ht="15">
      <c r="K491">
        <f t="shared" si="67"/>
        <v>365</v>
      </c>
      <c r="L491" s="120">
        <f t="shared" si="66"/>
        <v>40843</v>
      </c>
      <c r="M491" s="118">
        <f t="shared" si="68"/>
        <v>107.43668848411312</v>
      </c>
      <c r="N491" s="68"/>
      <c r="O491" s="68"/>
      <c r="P491" s="68"/>
      <c r="Q491" s="68">
        <f t="shared" si="61"/>
        <v>2.9249132226521026</v>
      </c>
      <c r="R491" s="68">
        <f t="shared" si="62"/>
        <v>2.882002634368993</v>
      </c>
      <c r="S491" s="68">
        <f t="shared" si="63"/>
        <v>2.839721575390391</v>
      </c>
      <c r="T491" s="68">
        <f t="shared" si="64"/>
        <v>2.7967483032961313</v>
      </c>
      <c r="U491" s="68">
        <f t="shared" si="65"/>
        <v>95.9933027484055</v>
      </c>
    </row>
    <row r="492" spans="11:21" ht="15">
      <c r="K492">
        <f t="shared" si="67"/>
        <v>366</v>
      </c>
      <c r="L492" s="120">
        <f t="shared" si="66"/>
        <v>40844</v>
      </c>
      <c r="M492" s="118">
        <f t="shared" si="68"/>
        <v>107.44929120667437</v>
      </c>
      <c r="N492" s="68"/>
      <c r="O492" s="68"/>
      <c r="P492" s="68"/>
      <c r="Q492" s="68">
        <f t="shared" si="61"/>
        <v>2.9252563258357633</v>
      </c>
      <c r="R492" s="68">
        <f t="shared" si="62"/>
        <v>2.882340703981285</v>
      </c>
      <c r="S492" s="68">
        <f t="shared" si="63"/>
        <v>2.84005468527744</v>
      </c>
      <c r="T492" s="68">
        <f t="shared" si="64"/>
        <v>2.797076372258768</v>
      </c>
      <c r="U492" s="68">
        <f t="shared" si="65"/>
        <v>96.00456311932112</v>
      </c>
    </row>
    <row r="493" spans="11:21" ht="15">
      <c r="K493">
        <f t="shared" si="67"/>
        <v>367</v>
      </c>
      <c r="L493" s="120">
        <f t="shared" si="66"/>
        <v>40845</v>
      </c>
      <c r="M493" s="118">
        <f t="shared" si="68"/>
        <v>107.46189540758179</v>
      </c>
      <c r="N493" s="68"/>
      <c r="O493" s="68"/>
      <c r="P493" s="68"/>
      <c r="Q493" s="68">
        <f t="shared" si="61"/>
        <v>2.925599469266701</v>
      </c>
      <c r="R493" s="68">
        <f t="shared" si="62"/>
        <v>2.882678813250398</v>
      </c>
      <c r="S493" s="68">
        <f t="shared" si="63"/>
        <v>2.8403878342395164</v>
      </c>
      <c r="T493" s="68">
        <f t="shared" si="64"/>
        <v>2.7974044797051127</v>
      </c>
      <c r="U493" s="68">
        <f t="shared" si="65"/>
        <v>96.01582481112007</v>
      </c>
    </row>
    <row r="494" spans="11:21" ht="15">
      <c r="K494">
        <f t="shared" si="67"/>
        <v>368</v>
      </c>
      <c r="L494" s="120">
        <f t="shared" si="66"/>
        <v>40846</v>
      </c>
      <c r="M494" s="118">
        <f t="shared" si="68"/>
        <v>107.4745010870088</v>
      </c>
      <c r="N494" s="68"/>
      <c r="O494" s="68"/>
      <c r="P494" s="68"/>
      <c r="Q494" s="68">
        <f t="shared" si="61"/>
        <v>2.925942652949639</v>
      </c>
      <c r="R494" s="68">
        <f t="shared" si="62"/>
        <v>2.8830169621809847</v>
      </c>
      <c r="S494" s="68">
        <f t="shared" si="63"/>
        <v>2.840721022281203</v>
      </c>
      <c r="T494" s="68">
        <f t="shared" si="64"/>
        <v>2.7977326256396795</v>
      </c>
      <c r="U494" s="68">
        <f t="shared" si="65"/>
        <v>96.0270878239573</v>
      </c>
    </row>
    <row r="495" spans="11:21" ht="15">
      <c r="K495">
        <f t="shared" si="67"/>
        <v>369</v>
      </c>
      <c r="L495" s="120">
        <f t="shared" si="66"/>
        <v>40847</v>
      </c>
      <c r="M495" s="118">
        <f t="shared" si="68"/>
        <v>107.48710824512882</v>
      </c>
      <c r="N495" s="68"/>
      <c r="O495" s="68"/>
      <c r="P495" s="68"/>
      <c r="Q495" s="68">
        <f t="shared" si="61"/>
        <v>2.9262858768892963</v>
      </c>
      <c r="R495" s="68">
        <f t="shared" si="62"/>
        <v>2.8833551507776964</v>
      </c>
      <c r="S495" s="68">
        <f t="shared" si="63"/>
        <v>2.8410542494070836</v>
      </c>
      <c r="T495" s="68">
        <f t="shared" si="64"/>
        <v>2.798060810066983</v>
      </c>
      <c r="U495" s="68">
        <f t="shared" si="65"/>
        <v>96.03835215798776</v>
      </c>
    </row>
    <row r="496" spans="11:21" ht="15">
      <c r="K496">
        <f t="shared" si="67"/>
        <v>370</v>
      </c>
      <c r="L496" s="120">
        <f t="shared" si="66"/>
        <v>40848</v>
      </c>
      <c r="M496" s="118">
        <f t="shared" si="68"/>
        <v>107.49971688211531</v>
      </c>
      <c r="N496" s="68"/>
      <c r="O496" s="68"/>
      <c r="P496" s="68"/>
      <c r="Q496" s="68">
        <f t="shared" si="61"/>
        <v>2.926629141090397</v>
      </c>
      <c r="R496" s="68">
        <f t="shared" si="62"/>
        <v>2.8836933790451864</v>
      </c>
      <c r="S496" s="68">
        <f t="shared" si="63"/>
        <v>2.8413875156217445</v>
      </c>
      <c r="T496" s="68">
        <f t="shared" si="64"/>
        <v>2.7983890329915386</v>
      </c>
      <c r="U496" s="68">
        <f t="shared" si="65"/>
        <v>96.04961781336644</v>
      </c>
    </row>
    <row r="497" spans="11:21" ht="15">
      <c r="K497">
        <f t="shared" si="67"/>
        <v>371</v>
      </c>
      <c r="L497" s="120">
        <f t="shared" si="66"/>
        <v>40849</v>
      </c>
      <c r="M497" s="118">
        <f t="shared" si="68"/>
        <v>107.51232699814173</v>
      </c>
      <c r="N497" s="68"/>
      <c r="O497" s="68"/>
      <c r="P497" s="68"/>
      <c r="Q497" s="68">
        <f t="shared" si="61"/>
        <v>2.9269724455576633</v>
      </c>
      <c r="R497" s="68">
        <f t="shared" si="62"/>
        <v>2.884031646988108</v>
      </c>
      <c r="S497" s="68">
        <f t="shared" si="63"/>
        <v>2.8417208209297695</v>
      </c>
      <c r="T497" s="68">
        <f t="shared" si="64"/>
        <v>2.798717294417862</v>
      </c>
      <c r="U497" s="68">
        <f t="shared" si="65"/>
        <v>96.06088479024832</v>
      </c>
    </row>
    <row r="498" spans="11:21" ht="15">
      <c r="K498">
        <f t="shared" si="67"/>
        <v>372</v>
      </c>
      <c r="L498" s="120">
        <f t="shared" si="66"/>
        <v>40850</v>
      </c>
      <c r="M498" s="118">
        <f t="shared" si="68"/>
        <v>107.5249385933816</v>
      </c>
      <c r="N498" s="68"/>
      <c r="O498" s="68"/>
      <c r="P498" s="68"/>
      <c r="Q498" s="68">
        <f t="shared" si="61"/>
        <v>2.9273157902958187</v>
      </c>
      <c r="R498" s="68">
        <f t="shared" si="62"/>
        <v>2.8843699546111163</v>
      </c>
      <c r="S498" s="68">
        <f t="shared" si="63"/>
        <v>2.842054165335746</v>
      </c>
      <c r="T498" s="68">
        <f t="shared" si="64"/>
        <v>2.79904559435047</v>
      </c>
      <c r="U498" s="68">
        <f t="shared" si="65"/>
        <v>96.07215308878845</v>
      </c>
    </row>
    <row r="499" spans="11:21" ht="15">
      <c r="K499">
        <f t="shared" si="67"/>
        <v>373</v>
      </c>
      <c r="L499" s="120">
        <f t="shared" si="66"/>
        <v>40851</v>
      </c>
      <c r="M499" s="118">
        <f t="shared" si="68"/>
        <v>107.53755166800843</v>
      </c>
      <c r="N499" s="68"/>
      <c r="O499" s="68"/>
      <c r="P499" s="68"/>
      <c r="Q499" s="68">
        <f t="shared" si="61"/>
        <v>2.9276591753095866</v>
      </c>
      <c r="R499" s="68">
        <f t="shared" si="62"/>
        <v>2.8847083019188644</v>
      </c>
      <c r="S499" s="68">
        <f t="shared" si="63"/>
        <v>2.8423875488442585</v>
      </c>
      <c r="T499" s="68">
        <f t="shared" si="64"/>
        <v>2.7993739327938796</v>
      </c>
      <c r="U499" s="68">
        <f t="shared" si="65"/>
        <v>96.08342270914184</v>
      </c>
    </row>
    <row r="500" spans="11:21" ht="15">
      <c r="K500">
        <f t="shared" si="67"/>
        <v>374</v>
      </c>
      <c r="L500" s="120">
        <f t="shared" si="66"/>
        <v>40852</v>
      </c>
      <c r="M500" s="118">
        <f t="shared" si="68"/>
        <v>107.55016622219574</v>
      </c>
      <c r="N500" s="68"/>
      <c r="O500" s="68"/>
      <c r="P500" s="68"/>
      <c r="Q500" s="68">
        <f t="shared" si="61"/>
        <v>2.928002600603692</v>
      </c>
      <c r="R500" s="68">
        <f t="shared" si="62"/>
        <v>2.885046688916009</v>
      </c>
      <c r="S500" s="68">
        <f t="shared" si="63"/>
        <v>2.8427209714598947</v>
      </c>
      <c r="T500" s="68">
        <f t="shared" si="64"/>
        <v>2.799702309752608</v>
      </c>
      <c r="U500" s="68">
        <f t="shared" si="65"/>
        <v>96.09469365146354</v>
      </c>
    </row>
    <row r="501" spans="11:21" ht="15">
      <c r="K501">
        <f t="shared" si="67"/>
        <v>375</v>
      </c>
      <c r="L501" s="120">
        <f t="shared" si="66"/>
        <v>40853</v>
      </c>
      <c r="M501" s="118">
        <f t="shared" si="68"/>
        <v>107.56278225611713</v>
      </c>
      <c r="N501" s="68"/>
      <c r="O501" s="68"/>
      <c r="P501" s="68"/>
      <c r="Q501" s="68">
        <f t="shared" si="61"/>
        <v>2.9283460661828595</v>
      </c>
      <c r="R501" s="68">
        <f t="shared" si="62"/>
        <v>2.885385115607204</v>
      </c>
      <c r="S501" s="68">
        <f t="shared" si="63"/>
        <v>2.843054433187242</v>
      </c>
      <c r="T501" s="68">
        <f t="shared" si="64"/>
        <v>2.800030725231173</v>
      </c>
      <c r="U501" s="68">
        <f t="shared" si="65"/>
        <v>96.10596591590866</v>
      </c>
    </row>
    <row r="502" spans="11:21" ht="15">
      <c r="K502">
        <f t="shared" si="67"/>
        <v>376</v>
      </c>
      <c r="L502" s="120">
        <f t="shared" si="66"/>
        <v>40854</v>
      </c>
      <c r="M502" s="118">
        <f t="shared" si="68"/>
        <v>107.57539976994616</v>
      </c>
      <c r="N502" s="68"/>
      <c r="O502" s="68"/>
      <c r="P502" s="68"/>
      <c r="Q502" s="68">
        <f t="shared" si="61"/>
        <v>2.928689572051816</v>
      </c>
      <c r="R502" s="68">
        <f t="shared" si="62"/>
        <v>2.8857235819971083</v>
      </c>
      <c r="S502" s="68">
        <f t="shared" si="63"/>
        <v>2.843387934030889</v>
      </c>
      <c r="T502" s="68">
        <f t="shared" si="64"/>
        <v>2.800359179234093</v>
      </c>
      <c r="U502" s="68">
        <f t="shared" si="65"/>
        <v>96.11723950263224</v>
      </c>
    </row>
    <row r="503" spans="11:21" ht="15">
      <c r="K503">
        <f t="shared" si="67"/>
        <v>377</v>
      </c>
      <c r="L503" s="120">
        <f t="shared" si="66"/>
        <v>40855</v>
      </c>
      <c r="M503" s="118">
        <f t="shared" si="68"/>
        <v>107.58801876385638</v>
      </c>
      <c r="N503" s="68"/>
      <c r="O503" s="68"/>
      <c r="P503" s="68"/>
      <c r="Q503" s="68">
        <f t="shared" si="61"/>
        <v>2.9290331182152856</v>
      </c>
      <c r="R503" s="68">
        <f t="shared" si="62"/>
        <v>2.886062088090376</v>
      </c>
      <c r="S503" s="68">
        <f t="shared" si="63"/>
        <v>2.843721473995423</v>
      </c>
      <c r="T503" s="68">
        <f t="shared" si="64"/>
        <v>2.8006876717658873</v>
      </c>
      <c r="U503" s="68">
        <f t="shared" si="65"/>
        <v>96.12851441178941</v>
      </c>
    </row>
    <row r="504" spans="11:21" ht="15">
      <c r="K504">
        <f t="shared" si="67"/>
        <v>378</v>
      </c>
      <c r="L504" s="120">
        <f t="shared" si="66"/>
        <v>40856</v>
      </c>
      <c r="M504" s="118">
        <f t="shared" si="68"/>
        <v>107.60063923802147</v>
      </c>
      <c r="N504" s="68"/>
      <c r="O504" s="68"/>
      <c r="P504" s="68"/>
      <c r="Q504" s="68">
        <f t="shared" si="61"/>
        <v>2.9293767046779964</v>
      </c>
      <c r="R504" s="68">
        <f t="shared" si="62"/>
        <v>2.886400633891666</v>
      </c>
      <c r="S504" s="68">
        <f t="shared" si="63"/>
        <v>2.8440550530854334</v>
      </c>
      <c r="T504" s="68">
        <f t="shared" si="64"/>
        <v>2.8010162028310766</v>
      </c>
      <c r="U504" s="68">
        <f t="shared" si="65"/>
        <v>96.1397906435353</v>
      </c>
    </row>
    <row r="505" spans="11:21" ht="15">
      <c r="K505">
        <f t="shared" si="67"/>
        <v>379</v>
      </c>
      <c r="L505" s="120">
        <f t="shared" si="66"/>
        <v>40857</v>
      </c>
      <c r="M505" s="118">
        <f t="shared" si="68"/>
        <v>107.61326119261507</v>
      </c>
      <c r="N505" s="68"/>
      <c r="O505" s="68"/>
      <c r="P505" s="68"/>
      <c r="Q505" s="68">
        <f t="shared" si="61"/>
        <v>2.9297203314446754</v>
      </c>
      <c r="R505" s="68">
        <f t="shared" si="62"/>
        <v>2.886739219405636</v>
      </c>
      <c r="S505" s="68">
        <f t="shared" si="63"/>
        <v>2.84438867130551</v>
      </c>
      <c r="T505" s="68">
        <f t="shared" si="64"/>
        <v>2.801344772434179</v>
      </c>
      <c r="U505" s="68">
        <f t="shared" si="65"/>
        <v>96.15106819802507</v>
      </c>
    </row>
    <row r="506" spans="11:21" ht="15">
      <c r="K506">
        <f t="shared" si="67"/>
        <v>380</v>
      </c>
      <c r="L506" s="120">
        <f t="shared" si="66"/>
        <v>40858</v>
      </c>
      <c r="M506" s="118">
        <f t="shared" si="68"/>
        <v>107.62588462781082</v>
      </c>
      <c r="N506" s="68"/>
      <c r="O506" s="68"/>
      <c r="P506" s="68"/>
      <c r="Q506" s="68">
        <f t="shared" si="61"/>
        <v>2.9300639985200503</v>
      </c>
      <c r="R506" s="68">
        <f t="shared" si="62"/>
        <v>2.8870778446369436</v>
      </c>
      <c r="S506" s="68">
        <f t="shared" si="63"/>
        <v>2.844722328660243</v>
      </c>
      <c r="T506" s="68">
        <f t="shared" si="64"/>
        <v>2.8016733805797167</v>
      </c>
      <c r="U506" s="68">
        <f t="shared" si="65"/>
        <v>96.16234707541386</v>
      </c>
    </row>
    <row r="507" spans="11:21" ht="15">
      <c r="K507">
        <f t="shared" si="67"/>
        <v>381</v>
      </c>
      <c r="L507" s="120">
        <f t="shared" si="66"/>
        <v>40859</v>
      </c>
      <c r="M507" s="118">
        <f t="shared" si="68"/>
        <v>107.63850954378238</v>
      </c>
      <c r="N507" s="68"/>
      <c r="O507" s="68"/>
      <c r="P507" s="68"/>
      <c r="Q507" s="68">
        <f t="shared" si="61"/>
        <v>2.93040770590885</v>
      </c>
      <c r="R507" s="68">
        <f t="shared" si="62"/>
        <v>2.8874165095902486</v>
      </c>
      <c r="S507" s="68">
        <f t="shared" si="63"/>
        <v>2.8450560251542227</v>
      </c>
      <c r="T507" s="68">
        <f t="shared" si="64"/>
        <v>2.8020020272722097</v>
      </c>
      <c r="U507" s="68">
        <f t="shared" si="65"/>
        <v>96.17362727585684</v>
      </c>
    </row>
    <row r="508" spans="11:21" ht="15">
      <c r="K508">
        <f t="shared" si="67"/>
        <v>382</v>
      </c>
      <c r="L508" s="120">
        <f t="shared" si="66"/>
        <v>40860</v>
      </c>
      <c r="M508" s="118">
        <f t="shared" si="68"/>
        <v>107.65113594070348</v>
      </c>
      <c r="N508" s="68"/>
      <c r="O508" s="68"/>
      <c r="P508" s="68"/>
      <c r="Q508" s="68">
        <f t="shared" si="61"/>
        <v>2.9307514536158017</v>
      </c>
      <c r="R508" s="68">
        <f t="shared" si="62"/>
        <v>2.8877552142702108</v>
      </c>
      <c r="S508" s="68">
        <f t="shared" si="63"/>
        <v>2.84538976079204</v>
      </c>
      <c r="T508" s="68">
        <f t="shared" si="64"/>
        <v>2.8023307125161803</v>
      </c>
      <c r="U508" s="68">
        <f t="shared" si="65"/>
        <v>96.18490879950924</v>
      </c>
    </row>
    <row r="509" spans="11:21" ht="15">
      <c r="K509">
        <f t="shared" si="67"/>
        <v>383</v>
      </c>
      <c r="L509" s="120">
        <f t="shared" si="66"/>
        <v>40861</v>
      </c>
      <c r="M509" s="118">
        <f t="shared" si="68"/>
        <v>107.66376381874781</v>
      </c>
      <c r="N509" s="68"/>
      <c r="O509" s="68"/>
      <c r="P509" s="68"/>
      <c r="Q509" s="68">
        <f t="shared" si="61"/>
        <v>2.931095241645637</v>
      </c>
      <c r="R509" s="68">
        <f t="shared" si="62"/>
        <v>2.8880939586814893</v>
      </c>
      <c r="S509" s="68">
        <f t="shared" si="63"/>
        <v>2.845723535578288</v>
      </c>
      <c r="T509" s="68">
        <f t="shared" si="64"/>
        <v>2.802659436316151</v>
      </c>
      <c r="U509" s="68">
        <f t="shared" si="65"/>
        <v>96.19619164652624</v>
      </c>
    </row>
    <row r="510" spans="11:21" ht="15">
      <c r="K510">
        <f t="shared" si="67"/>
        <v>384</v>
      </c>
      <c r="L510" s="120">
        <f t="shared" si="66"/>
        <v>40862</v>
      </c>
      <c r="M510" s="118">
        <f t="shared" si="68"/>
        <v>107.67639317808916</v>
      </c>
      <c r="N510" s="68"/>
      <c r="O510" s="68"/>
      <c r="P510" s="68"/>
      <c r="Q510" s="68">
        <f aca="true" t="shared" si="69" ref="Q510:Q573">$K$50/(1+$L$123/100)^(($J$50-K510)/252)</f>
        <v>2.9314390700030843</v>
      </c>
      <c r="R510" s="68">
        <f aca="true" t="shared" si="70" ref="R510:R573">$K$51/(1+$L$123/100)^(($J$51-K510)/252)</f>
        <v>2.888432742828746</v>
      </c>
      <c r="S510" s="68">
        <f aca="true" t="shared" si="71" ref="S510:S573">$K$52/(1+$L$123/100)^(($J$52-K510)/252)</f>
        <v>2.8460573495175576</v>
      </c>
      <c r="T510" s="68">
        <f aca="true" t="shared" si="72" ref="T510:T573">$K$53/(1+$L$123/100)^(($J$53-K510)/252)</f>
        <v>2.802988198676644</v>
      </c>
      <c r="U510" s="68">
        <f aca="true" t="shared" si="73" ref="U510:U573">$K$54/(1+$L$123/100)^(($J$54-K510)/252)</f>
        <v>96.20747581706313</v>
      </c>
    </row>
    <row r="511" spans="11:21" ht="15">
      <c r="K511">
        <f t="shared" si="67"/>
        <v>385</v>
      </c>
      <c r="L511" s="120">
        <f t="shared" si="66"/>
        <v>40863</v>
      </c>
      <c r="M511" s="118">
        <f t="shared" si="68"/>
        <v>107.68902401890125</v>
      </c>
      <c r="N511" s="68"/>
      <c r="O511" s="68"/>
      <c r="P511" s="68"/>
      <c r="Q511" s="68">
        <f t="shared" si="69"/>
        <v>2.9317829386928755</v>
      </c>
      <c r="R511" s="68">
        <f t="shared" si="70"/>
        <v>2.8887715667166405</v>
      </c>
      <c r="S511" s="68">
        <f t="shared" si="71"/>
        <v>2.846391202614442</v>
      </c>
      <c r="T511" s="68">
        <f t="shared" si="72"/>
        <v>2.803316999602183</v>
      </c>
      <c r="U511" s="68">
        <f t="shared" si="73"/>
        <v>96.2187613112751</v>
      </c>
    </row>
    <row r="512" spans="11:21" ht="15">
      <c r="K512">
        <f t="shared" si="67"/>
        <v>386</v>
      </c>
      <c r="L512" s="120">
        <f aca="true" t="shared" si="74" ref="L512:L575">L511+1</f>
        <v>40864</v>
      </c>
      <c r="M512" s="118">
        <f t="shared" si="68"/>
        <v>107.70165634135788</v>
      </c>
      <c r="N512" s="68"/>
      <c r="O512" s="68"/>
      <c r="P512" s="68"/>
      <c r="Q512" s="68">
        <f t="shared" si="69"/>
        <v>2.932126847719741</v>
      </c>
      <c r="R512" s="68">
        <f t="shared" si="70"/>
        <v>2.8891104303498363</v>
      </c>
      <c r="S512" s="68">
        <f t="shared" si="71"/>
        <v>2.8467250948735345</v>
      </c>
      <c r="T512" s="68">
        <f t="shared" si="72"/>
        <v>2.803645839097292</v>
      </c>
      <c r="U512" s="68">
        <f t="shared" si="73"/>
        <v>96.23004812931747</v>
      </c>
    </row>
    <row r="513" spans="11:21" ht="15">
      <c r="K513">
        <f t="shared" si="67"/>
        <v>387</v>
      </c>
      <c r="L513" s="120">
        <f t="shared" si="74"/>
        <v>40865</v>
      </c>
      <c r="M513" s="118">
        <f t="shared" si="68"/>
        <v>107.71429014563284</v>
      </c>
      <c r="N513" s="68"/>
      <c r="O513" s="68"/>
      <c r="P513" s="68"/>
      <c r="Q513" s="68">
        <f t="shared" si="69"/>
        <v>2.9324707970884116</v>
      </c>
      <c r="R513" s="68">
        <f t="shared" si="70"/>
        <v>2.889449333732994</v>
      </c>
      <c r="S513" s="68">
        <f t="shared" si="71"/>
        <v>2.8470590262994286</v>
      </c>
      <c r="T513" s="68">
        <f t="shared" si="72"/>
        <v>2.803974717166495</v>
      </c>
      <c r="U513" s="68">
        <f t="shared" si="73"/>
        <v>96.24133627134552</v>
      </c>
    </row>
    <row r="514" spans="11:21" ht="15">
      <c r="K514">
        <f t="shared" si="67"/>
        <v>388</v>
      </c>
      <c r="L514" s="120">
        <f t="shared" si="74"/>
        <v>40866</v>
      </c>
      <c r="M514" s="118">
        <f t="shared" si="68"/>
        <v>107.72692543189996</v>
      </c>
      <c r="N514" s="68"/>
      <c r="O514" s="68"/>
      <c r="P514" s="68"/>
      <c r="Q514" s="68">
        <f t="shared" si="69"/>
        <v>2.932814786803622</v>
      </c>
      <c r="R514" s="68">
        <f t="shared" si="70"/>
        <v>2.8897882768707777</v>
      </c>
      <c r="S514" s="68">
        <f t="shared" si="71"/>
        <v>2.8473929968967195</v>
      </c>
      <c r="T514" s="68">
        <f t="shared" si="72"/>
        <v>2.8043036338143166</v>
      </c>
      <c r="U514" s="68">
        <f t="shared" si="73"/>
        <v>96.25262573751452</v>
      </c>
    </row>
    <row r="515" spans="11:21" ht="15">
      <c r="K515">
        <f t="shared" si="67"/>
        <v>389</v>
      </c>
      <c r="L515" s="120">
        <f t="shared" si="74"/>
        <v>40867</v>
      </c>
      <c r="M515" s="118">
        <f t="shared" si="68"/>
        <v>107.7395622003331</v>
      </c>
      <c r="N515" s="68"/>
      <c r="O515" s="68"/>
      <c r="P515" s="68"/>
      <c r="Q515" s="68">
        <f t="shared" si="69"/>
        <v>2.9331588168701024</v>
      </c>
      <c r="R515" s="68">
        <f t="shared" si="70"/>
        <v>2.89012725976785</v>
      </c>
      <c r="S515" s="68">
        <f t="shared" si="71"/>
        <v>2.8477270066700022</v>
      </c>
      <c r="T515" s="68">
        <f t="shared" si="72"/>
        <v>2.804632589045282</v>
      </c>
      <c r="U515" s="68">
        <f t="shared" si="73"/>
        <v>96.26391652797986</v>
      </c>
    </row>
    <row r="516" spans="11:21" ht="15">
      <c r="K516">
        <f t="shared" si="67"/>
        <v>390</v>
      </c>
      <c r="L516" s="120">
        <f t="shared" si="74"/>
        <v>40868</v>
      </c>
      <c r="M516" s="118">
        <f t="shared" si="68"/>
        <v>107.75220045110609</v>
      </c>
      <c r="N516" s="68"/>
      <c r="O516" s="68"/>
      <c r="P516" s="68"/>
      <c r="Q516" s="68">
        <f t="shared" si="69"/>
        <v>2.9335028872925877</v>
      </c>
      <c r="R516" s="68">
        <f t="shared" si="70"/>
        <v>2.890466282428875</v>
      </c>
      <c r="S516" s="68">
        <f t="shared" si="71"/>
        <v>2.8480610556238717</v>
      </c>
      <c r="T516" s="68">
        <f t="shared" si="72"/>
        <v>2.8049615828639185</v>
      </c>
      <c r="U516" s="68">
        <f t="shared" si="73"/>
        <v>96.27520864289684</v>
      </c>
    </row>
    <row r="517" spans="11:21" ht="15">
      <c r="K517">
        <f t="shared" si="67"/>
        <v>391</v>
      </c>
      <c r="L517" s="120">
        <f t="shared" si="74"/>
        <v>40869</v>
      </c>
      <c r="M517" s="118">
        <f t="shared" si="68"/>
        <v>107.76484018439285</v>
      </c>
      <c r="N517" s="68"/>
      <c r="O517" s="68"/>
      <c r="P517" s="68"/>
      <c r="Q517" s="68">
        <f t="shared" si="69"/>
        <v>2.933846998075811</v>
      </c>
      <c r="R517" s="68">
        <f t="shared" si="70"/>
        <v>2.890805344858517</v>
      </c>
      <c r="S517" s="68">
        <f t="shared" si="71"/>
        <v>2.8483951437629234</v>
      </c>
      <c r="T517" s="68">
        <f t="shared" si="72"/>
        <v>2.8052906152747514</v>
      </c>
      <c r="U517" s="68">
        <f t="shared" si="73"/>
        <v>96.28650208242085</v>
      </c>
    </row>
    <row r="518" spans="11:21" ht="15">
      <c r="K518">
        <f t="shared" si="67"/>
        <v>392</v>
      </c>
      <c r="L518" s="120">
        <f t="shared" si="74"/>
        <v>40870</v>
      </c>
      <c r="M518" s="118">
        <f t="shared" si="68"/>
        <v>107.77748140036726</v>
      </c>
      <c r="N518" s="68"/>
      <c r="O518" s="68"/>
      <c r="P518" s="68"/>
      <c r="Q518" s="68">
        <f t="shared" si="69"/>
        <v>2.934191149224508</v>
      </c>
      <c r="R518" s="68">
        <f t="shared" si="70"/>
        <v>2.891144447061442</v>
      </c>
      <c r="S518" s="68">
        <f t="shared" si="71"/>
        <v>2.848729271091755</v>
      </c>
      <c r="T518" s="68">
        <f t="shared" si="72"/>
        <v>2.805619686282308</v>
      </c>
      <c r="U518" s="68">
        <f t="shared" si="73"/>
        <v>96.29779684670726</v>
      </c>
    </row>
    <row r="519" spans="11:21" ht="15">
      <c r="K519">
        <f t="shared" si="67"/>
        <v>393</v>
      </c>
      <c r="L519" s="120">
        <f t="shared" si="74"/>
        <v>40871</v>
      </c>
      <c r="M519" s="118">
        <f t="shared" si="68"/>
        <v>107.79012409920327</v>
      </c>
      <c r="N519" s="68"/>
      <c r="O519" s="68"/>
      <c r="P519" s="68"/>
      <c r="Q519" s="68">
        <f t="shared" si="69"/>
        <v>2.934535340743412</v>
      </c>
      <c r="R519" s="68">
        <f t="shared" si="70"/>
        <v>2.891483589042314</v>
      </c>
      <c r="S519" s="68">
        <f t="shared" si="71"/>
        <v>2.8490634376149626</v>
      </c>
      <c r="T519" s="68">
        <f t="shared" si="72"/>
        <v>2.805948795891116</v>
      </c>
      <c r="U519" s="68">
        <f t="shared" si="73"/>
        <v>96.30909293591147</v>
      </c>
    </row>
    <row r="520" spans="11:21" ht="15">
      <c r="K520">
        <f t="shared" si="67"/>
        <v>394</v>
      </c>
      <c r="L520" s="120">
        <f t="shared" si="74"/>
        <v>40872</v>
      </c>
      <c r="M520" s="118">
        <f t="shared" si="68"/>
        <v>107.80276828107476</v>
      </c>
      <c r="N520" s="68"/>
      <c r="O520" s="68"/>
      <c r="P520" s="68"/>
      <c r="Q520" s="68">
        <f t="shared" si="69"/>
        <v>2.93487957263726</v>
      </c>
      <c r="R520" s="68">
        <f t="shared" si="70"/>
        <v>2.8918227708058004</v>
      </c>
      <c r="S520" s="68">
        <f t="shared" si="71"/>
        <v>2.849397643337145</v>
      </c>
      <c r="T520" s="68">
        <f t="shared" si="72"/>
        <v>2.806277944105704</v>
      </c>
      <c r="U520" s="68">
        <f t="shared" si="73"/>
        <v>96.32039035018886</v>
      </c>
    </row>
    <row r="521" spans="11:21" ht="15">
      <c r="K521">
        <f t="shared" si="67"/>
        <v>395</v>
      </c>
      <c r="L521" s="120">
        <f t="shared" si="74"/>
        <v>40873</v>
      </c>
      <c r="M521" s="118">
        <f t="shared" si="68"/>
        <v>107.8154139461558</v>
      </c>
      <c r="N521" s="68"/>
      <c r="O521" s="68"/>
      <c r="P521" s="68"/>
      <c r="Q521" s="68">
        <f t="shared" si="69"/>
        <v>2.935223844910787</v>
      </c>
      <c r="R521" s="68">
        <f t="shared" si="70"/>
        <v>2.892161992356567</v>
      </c>
      <c r="S521" s="68">
        <f t="shared" si="71"/>
        <v>2.8497318882629</v>
      </c>
      <c r="T521" s="68">
        <f t="shared" si="72"/>
        <v>2.806607130930599</v>
      </c>
      <c r="U521" s="68">
        <f t="shared" si="73"/>
        <v>96.33168908969495</v>
      </c>
    </row>
    <row r="522" spans="11:21" ht="15">
      <c r="K522">
        <f t="shared" si="67"/>
        <v>396</v>
      </c>
      <c r="L522" s="120">
        <f t="shared" si="74"/>
        <v>40874</v>
      </c>
      <c r="M522" s="118">
        <f t="shared" si="68"/>
        <v>107.82806109462027</v>
      </c>
      <c r="N522" s="68"/>
      <c r="O522" s="68"/>
      <c r="P522" s="68"/>
      <c r="Q522" s="68">
        <f t="shared" si="69"/>
        <v>2.9355681575687305</v>
      </c>
      <c r="R522" s="68">
        <f t="shared" si="70"/>
        <v>2.892501253699281</v>
      </c>
      <c r="S522" s="68">
        <f t="shared" si="71"/>
        <v>2.8500661723968257</v>
      </c>
      <c r="T522" s="68">
        <f t="shared" si="72"/>
        <v>2.806936356370332</v>
      </c>
      <c r="U522" s="68">
        <f t="shared" si="73"/>
        <v>96.3429891545851</v>
      </c>
    </row>
    <row r="523" spans="11:21" ht="15">
      <c r="K523">
        <f t="shared" si="67"/>
        <v>397</v>
      </c>
      <c r="L523" s="120">
        <f t="shared" si="74"/>
        <v>40875</v>
      </c>
      <c r="M523" s="118">
        <f t="shared" si="68"/>
        <v>107.84070972664225</v>
      </c>
      <c r="N523" s="68"/>
      <c r="O523" s="68"/>
      <c r="P523" s="68"/>
      <c r="Q523" s="68">
        <f t="shared" si="69"/>
        <v>2.935912510615828</v>
      </c>
      <c r="R523" s="68">
        <f t="shared" si="70"/>
        <v>2.892840554838611</v>
      </c>
      <c r="S523" s="68">
        <f t="shared" si="71"/>
        <v>2.850400495743522</v>
      </c>
      <c r="T523" s="68">
        <f t="shared" si="72"/>
        <v>2.807265620429431</v>
      </c>
      <c r="U523" s="68">
        <f t="shared" si="73"/>
        <v>96.35429054501485</v>
      </c>
    </row>
    <row r="524" spans="11:21" ht="15">
      <c r="K524">
        <f t="shared" si="67"/>
        <v>398</v>
      </c>
      <c r="L524" s="120">
        <f t="shared" si="74"/>
        <v>40876</v>
      </c>
      <c r="M524" s="118">
        <f t="shared" si="68"/>
        <v>107.85335984239573</v>
      </c>
      <c r="N524" s="68"/>
      <c r="O524" s="68"/>
      <c r="P524" s="68"/>
      <c r="Q524" s="68">
        <f t="shared" si="69"/>
        <v>2.936256904056816</v>
      </c>
      <c r="R524" s="68">
        <f t="shared" si="70"/>
        <v>2.8931798957792245</v>
      </c>
      <c r="S524" s="68">
        <f t="shared" si="71"/>
        <v>2.850734858307588</v>
      </c>
      <c r="T524" s="68">
        <f t="shared" si="72"/>
        <v>2.8075949231124273</v>
      </c>
      <c r="U524" s="68">
        <f t="shared" si="73"/>
        <v>96.36559326113968</v>
      </c>
    </row>
    <row r="525" spans="11:21" ht="15">
      <c r="K525">
        <f t="shared" si="67"/>
        <v>399</v>
      </c>
      <c r="L525" s="120">
        <f t="shared" si="74"/>
        <v>40877</v>
      </c>
      <c r="M525" s="118">
        <f t="shared" si="68"/>
        <v>107.86601144205476</v>
      </c>
      <c r="N525" s="68"/>
      <c r="O525" s="68"/>
      <c r="P525" s="68"/>
      <c r="Q525" s="68">
        <f t="shared" si="69"/>
        <v>2.936601337896434</v>
      </c>
      <c r="R525" s="68">
        <f t="shared" si="70"/>
        <v>2.8935192765257907</v>
      </c>
      <c r="S525" s="68">
        <f t="shared" si="71"/>
        <v>2.851069260093625</v>
      </c>
      <c r="T525" s="68">
        <f t="shared" si="72"/>
        <v>2.807924264423851</v>
      </c>
      <c r="U525" s="68">
        <f t="shared" si="73"/>
        <v>96.37689730311506</v>
      </c>
    </row>
    <row r="526" spans="11:21" ht="15">
      <c r="K526">
        <f t="shared" si="67"/>
        <v>400</v>
      </c>
      <c r="L526" s="120">
        <f t="shared" si="74"/>
        <v>40878</v>
      </c>
      <c r="M526" s="118">
        <f t="shared" si="68"/>
        <v>107.87866452579343</v>
      </c>
      <c r="N526" s="68"/>
      <c r="O526" s="68"/>
      <c r="P526" s="68"/>
      <c r="Q526" s="68">
        <f t="shared" si="69"/>
        <v>2.9369458121394207</v>
      </c>
      <c r="R526" s="68">
        <f t="shared" si="70"/>
        <v>2.893858697082979</v>
      </c>
      <c r="S526" s="68">
        <f t="shared" si="71"/>
        <v>2.8514037011062334</v>
      </c>
      <c r="T526" s="68">
        <f t="shared" si="72"/>
        <v>2.808253644368234</v>
      </c>
      <c r="U526" s="68">
        <f t="shared" si="73"/>
        <v>96.38820267109656</v>
      </c>
    </row>
    <row r="527" spans="11:21" ht="15">
      <c r="K527">
        <f t="shared" si="67"/>
        <v>401</v>
      </c>
      <c r="L527" s="120">
        <f t="shared" si="74"/>
        <v>40879</v>
      </c>
      <c r="M527" s="118">
        <f t="shared" si="68"/>
        <v>107.89131909378582</v>
      </c>
      <c r="N527" s="68"/>
      <c r="O527" s="68"/>
      <c r="P527" s="68"/>
      <c r="Q527" s="68">
        <f t="shared" si="69"/>
        <v>2.9372903267905155</v>
      </c>
      <c r="R527" s="68">
        <f t="shared" si="70"/>
        <v>2.8941981574554587</v>
      </c>
      <c r="S527" s="68">
        <f t="shared" si="71"/>
        <v>2.851738181350015</v>
      </c>
      <c r="T527" s="68">
        <f t="shared" si="72"/>
        <v>2.808583062950108</v>
      </c>
      <c r="U527" s="68">
        <f t="shared" si="73"/>
        <v>96.39950936523972</v>
      </c>
    </row>
    <row r="528" spans="11:21" ht="15">
      <c r="K528">
        <f t="shared" si="67"/>
        <v>402</v>
      </c>
      <c r="L528" s="120">
        <f t="shared" si="74"/>
        <v>40880</v>
      </c>
      <c r="M528" s="118">
        <f t="shared" si="68"/>
        <v>107.90397514620602</v>
      </c>
      <c r="N528" s="68"/>
      <c r="O528" s="68"/>
      <c r="P528" s="68"/>
      <c r="Q528" s="68">
        <f t="shared" si="69"/>
        <v>2.9376348818544575</v>
      </c>
      <c r="R528" s="68">
        <f t="shared" si="70"/>
        <v>2.8945376576479016</v>
      </c>
      <c r="S528" s="68">
        <f t="shared" si="71"/>
        <v>2.8520727008295705</v>
      </c>
      <c r="T528" s="68">
        <f t="shared" si="72"/>
        <v>2.808912520174004</v>
      </c>
      <c r="U528" s="68">
        <f t="shared" si="73"/>
        <v>96.41081738570008</v>
      </c>
    </row>
    <row r="529" spans="11:21" ht="15">
      <c r="K529">
        <f t="shared" si="67"/>
        <v>403</v>
      </c>
      <c r="L529" s="120">
        <f t="shared" si="74"/>
        <v>40881</v>
      </c>
      <c r="M529" s="118">
        <f t="shared" si="68"/>
        <v>107.91663268322817</v>
      </c>
      <c r="N529" s="68"/>
      <c r="O529" s="68"/>
      <c r="P529" s="68"/>
      <c r="Q529" s="68">
        <f t="shared" si="69"/>
        <v>2.937979477335989</v>
      </c>
      <c r="R529" s="68">
        <f t="shared" si="70"/>
        <v>2.8948771976649774</v>
      </c>
      <c r="S529" s="68">
        <f t="shared" si="71"/>
        <v>2.8524072595495036</v>
      </c>
      <c r="T529" s="68">
        <f t="shared" si="72"/>
        <v>2.809242016044457</v>
      </c>
      <c r="U529" s="68">
        <f t="shared" si="73"/>
        <v>96.42212673263325</v>
      </c>
    </row>
    <row r="530" spans="11:21" ht="15">
      <c r="K530">
        <f t="shared" si="67"/>
        <v>404</v>
      </c>
      <c r="L530" s="120">
        <f t="shared" si="74"/>
        <v>40882</v>
      </c>
      <c r="M530" s="118">
        <f t="shared" si="68"/>
        <v>107.92929170502643</v>
      </c>
      <c r="N530" s="68"/>
      <c r="O530" s="68"/>
      <c r="P530" s="68"/>
      <c r="Q530" s="68">
        <f t="shared" si="69"/>
        <v>2.93832411323985</v>
      </c>
      <c r="R530" s="68">
        <f t="shared" si="70"/>
        <v>2.8952167775113584</v>
      </c>
      <c r="S530" s="68">
        <f t="shared" si="71"/>
        <v>2.8527418575144177</v>
      </c>
      <c r="T530" s="68">
        <f t="shared" si="72"/>
        <v>2.8095715505659986</v>
      </c>
      <c r="U530" s="68">
        <f t="shared" si="73"/>
        <v>96.4334374061948</v>
      </c>
    </row>
    <row r="531" spans="11:21" ht="15">
      <c r="K531">
        <f t="shared" si="67"/>
        <v>405</v>
      </c>
      <c r="L531" s="120">
        <f t="shared" si="74"/>
        <v>40883</v>
      </c>
      <c r="M531" s="118">
        <f t="shared" si="68"/>
        <v>107.94195221177495</v>
      </c>
      <c r="N531" s="68"/>
      <c r="O531" s="68"/>
      <c r="P531" s="68"/>
      <c r="Q531" s="68">
        <f t="shared" si="69"/>
        <v>2.9386687895707824</v>
      </c>
      <c r="R531" s="68">
        <f t="shared" si="70"/>
        <v>2.8955563971917164</v>
      </c>
      <c r="S531" s="68">
        <f t="shared" si="71"/>
        <v>2.853076494728915</v>
      </c>
      <c r="T531" s="68">
        <f t="shared" si="72"/>
        <v>2.809901123743164</v>
      </c>
      <c r="U531" s="68">
        <f t="shared" si="73"/>
        <v>96.44474940654037</v>
      </c>
    </row>
    <row r="532" spans="11:21" ht="15">
      <c r="K532">
        <f t="shared" si="67"/>
        <v>406</v>
      </c>
      <c r="L532" s="120">
        <f t="shared" si="74"/>
        <v>40884</v>
      </c>
      <c r="M532" s="118">
        <f t="shared" si="68"/>
        <v>107.95461420364794</v>
      </c>
      <c r="N532" s="68"/>
      <c r="O532" s="68"/>
      <c r="P532" s="68"/>
      <c r="Q532" s="68">
        <f t="shared" si="69"/>
        <v>2.9390135063335285</v>
      </c>
      <c r="R532" s="68">
        <f t="shared" si="70"/>
        <v>2.8958960567107237</v>
      </c>
      <c r="S532" s="68">
        <f t="shared" si="71"/>
        <v>2.8534111711976005</v>
      </c>
      <c r="T532" s="68">
        <f t="shared" si="72"/>
        <v>2.810230735580487</v>
      </c>
      <c r="U532" s="68">
        <f t="shared" si="73"/>
        <v>96.4560627338256</v>
      </c>
    </row>
    <row r="533" spans="11:21" ht="15">
      <c r="K533">
        <f t="shared" si="67"/>
        <v>407</v>
      </c>
      <c r="L533" s="120">
        <f t="shared" si="74"/>
        <v>40885</v>
      </c>
      <c r="M533" s="118">
        <f t="shared" si="68"/>
        <v>107.96727768081959</v>
      </c>
      <c r="N533" s="68"/>
      <c r="O533" s="68"/>
      <c r="P533" s="68"/>
      <c r="Q533" s="68">
        <f t="shared" si="69"/>
        <v>2.9393582635328315</v>
      </c>
      <c r="R533" s="68">
        <f t="shared" si="70"/>
        <v>2.896235756073055</v>
      </c>
      <c r="S533" s="68">
        <f t="shared" si="71"/>
        <v>2.853745886925079</v>
      </c>
      <c r="T533" s="68">
        <f t="shared" si="72"/>
        <v>2.8105603860825026</v>
      </c>
      <c r="U533" s="68">
        <f t="shared" si="73"/>
        <v>96.46737738820612</v>
      </c>
    </row>
    <row r="534" spans="11:21" ht="15">
      <c r="K534">
        <f t="shared" si="67"/>
        <v>408</v>
      </c>
      <c r="L534" s="120">
        <f t="shared" si="74"/>
        <v>40886</v>
      </c>
      <c r="M534" s="118">
        <f t="shared" si="68"/>
        <v>107.97994264346416</v>
      </c>
      <c r="N534" s="68"/>
      <c r="O534" s="68"/>
      <c r="P534" s="68"/>
      <c r="Q534" s="68">
        <f t="shared" si="69"/>
        <v>2.9397030611734345</v>
      </c>
      <c r="R534" s="68">
        <f t="shared" si="70"/>
        <v>2.8965754952833827</v>
      </c>
      <c r="S534" s="68">
        <f t="shared" si="71"/>
        <v>2.854080641915955</v>
      </c>
      <c r="T534" s="68">
        <f t="shared" si="72"/>
        <v>2.810890075253746</v>
      </c>
      <c r="U534" s="68">
        <f t="shared" si="73"/>
        <v>96.47869336983764</v>
      </c>
    </row>
    <row r="535" spans="11:21" ht="15">
      <c r="K535">
        <f t="shared" si="67"/>
        <v>409</v>
      </c>
      <c r="L535" s="120">
        <f t="shared" si="74"/>
        <v>40887</v>
      </c>
      <c r="M535" s="118">
        <f t="shared" si="68"/>
        <v>107.99260909175587</v>
      </c>
      <c r="N535" s="68"/>
      <c r="O535" s="68"/>
      <c r="P535" s="68"/>
      <c r="Q535" s="68">
        <f t="shared" si="69"/>
        <v>2.94004789926008</v>
      </c>
      <c r="R535" s="68">
        <f t="shared" si="70"/>
        <v>2.8969152743463815</v>
      </c>
      <c r="S535" s="68">
        <f t="shared" si="71"/>
        <v>2.854415436174835</v>
      </c>
      <c r="T535" s="68">
        <f t="shared" si="72"/>
        <v>2.811219803098754</v>
      </c>
      <c r="U535" s="68">
        <f t="shared" si="73"/>
        <v>96.49001067887582</v>
      </c>
    </row>
    <row r="536" spans="11:21" ht="15">
      <c r="K536">
        <f t="shared" si="67"/>
        <v>410</v>
      </c>
      <c r="L536" s="120">
        <f t="shared" si="74"/>
        <v>40888</v>
      </c>
      <c r="M536" s="118">
        <f t="shared" si="68"/>
        <v>108.005277025869</v>
      </c>
      <c r="N536" s="68"/>
      <c r="O536" s="68"/>
      <c r="P536" s="68"/>
      <c r="Q536" s="68">
        <f t="shared" si="69"/>
        <v>2.940392777797515</v>
      </c>
      <c r="R536" s="68">
        <f t="shared" si="70"/>
        <v>2.897255093266726</v>
      </c>
      <c r="S536" s="68">
        <f t="shared" si="71"/>
        <v>2.8547502697063245</v>
      </c>
      <c r="T536" s="68">
        <f t="shared" si="72"/>
        <v>2.8115495696220623</v>
      </c>
      <c r="U536" s="68">
        <f t="shared" si="73"/>
        <v>96.50132931547638</v>
      </c>
    </row>
    <row r="537" spans="11:21" ht="15">
      <c r="K537">
        <f t="shared" si="67"/>
        <v>411</v>
      </c>
      <c r="L537" s="120">
        <f t="shared" si="74"/>
        <v>40889</v>
      </c>
      <c r="M537" s="118">
        <f t="shared" si="68"/>
        <v>108.01794644597787</v>
      </c>
      <c r="N537" s="68"/>
      <c r="O537" s="68"/>
      <c r="P537" s="68"/>
      <c r="Q537" s="68">
        <f t="shared" si="69"/>
        <v>2.9407376967904826</v>
      </c>
      <c r="R537" s="68">
        <f t="shared" si="70"/>
        <v>2.8975949520490922</v>
      </c>
      <c r="S537" s="68">
        <f t="shared" si="71"/>
        <v>2.8550851425150316</v>
      </c>
      <c r="T537" s="68">
        <f t="shared" si="72"/>
        <v>2.8118793748282087</v>
      </c>
      <c r="U537" s="68">
        <f t="shared" si="73"/>
        <v>96.51264927979506</v>
      </c>
    </row>
    <row r="538" spans="11:21" ht="15">
      <c r="K538">
        <f t="shared" si="67"/>
        <v>412</v>
      </c>
      <c r="L538" s="120">
        <f t="shared" si="74"/>
        <v>40890</v>
      </c>
      <c r="M538" s="118">
        <f t="shared" si="68"/>
        <v>108.03061735225675</v>
      </c>
      <c r="N538" s="68"/>
      <c r="O538" s="68"/>
      <c r="P538" s="68"/>
      <c r="Q538" s="68">
        <f t="shared" si="69"/>
        <v>2.9410826562437293</v>
      </c>
      <c r="R538" s="68">
        <f t="shared" si="70"/>
        <v>2.8979348506981553</v>
      </c>
      <c r="S538" s="68">
        <f t="shared" si="71"/>
        <v>2.8554200546055624</v>
      </c>
      <c r="T538" s="68">
        <f t="shared" si="72"/>
        <v>2.8122092187217307</v>
      </c>
      <c r="U538" s="68">
        <f t="shared" si="73"/>
        <v>96.52397057198758</v>
      </c>
    </row>
    <row r="539" spans="11:21" ht="15">
      <c r="K539">
        <f t="shared" si="67"/>
        <v>413</v>
      </c>
      <c r="L539" s="120">
        <f t="shared" si="74"/>
        <v>40891</v>
      </c>
      <c r="M539" s="118">
        <f t="shared" si="68"/>
        <v>108.04328974488001</v>
      </c>
      <c r="N539" s="68"/>
      <c r="O539" s="68"/>
      <c r="P539" s="68"/>
      <c r="Q539" s="68">
        <f t="shared" si="69"/>
        <v>2.9414276561620007</v>
      </c>
      <c r="R539" s="68">
        <f t="shared" si="70"/>
        <v>2.898274789218593</v>
      </c>
      <c r="S539" s="68">
        <f t="shared" si="71"/>
        <v>2.855755005982525</v>
      </c>
      <c r="T539" s="68">
        <f t="shared" si="72"/>
        <v>2.8125391013071668</v>
      </c>
      <c r="U539" s="68">
        <f t="shared" si="73"/>
        <v>96.53529319220972</v>
      </c>
    </row>
    <row r="540" spans="11:21" ht="15">
      <c r="K540">
        <f t="shared" si="67"/>
        <v>414</v>
      </c>
      <c r="L540" s="120">
        <f t="shared" si="74"/>
        <v>40892</v>
      </c>
      <c r="M540" s="118">
        <f t="shared" si="68"/>
        <v>108.05596362402198</v>
      </c>
      <c r="N540" s="68"/>
      <c r="O540" s="68"/>
      <c r="P540" s="68"/>
      <c r="Q540" s="68">
        <f t="shared" si="69"/>
        <v>2.941772696550044</v>
      </c>
      <c r="R540" s="68">
        <f t="shared" si="70"/>
        <v>2.898614767615081</v>
      </c>
      <c r="S540" s="68">
        <f t="shared" si="71"/>
        <v>2.856089996650528</v>
      </c>
      <c r="T540" s="68">
        <f t="shared" si="72"/>
        <v>2.8128690225890542</v>
      </c>
      <c r="U540" s="68">
        <f t="shared" si="73"/>
        <v>96.54661714061727</v>
      </c>
    </row>
    <row r="541" spans="11:21" ht="15">
      <c r="K541">
        <f t="shared" si="67"/>
        <v>415</v>
      </c>
      <c r="L541" s="120">
        <f t="shared" si="74"/>
        <v>40893</v>
      </c>
      <c r="M541" s="118">
        <f t="shared" si="68"/>
        <v>108.06863898985702</v>
      </c>
      <c r="N541" s="68"/>
      <c r="O541" s="68"/>
      <c r="P541" s="68"/>
      <c r="Q541" s="68">
        <f t="shared" si="69"/>
        <v>2.942117777412606</v>
      </c>
      <c r="R541" s="68">
        <f t="shared" si="70"/>
        <v>2.8989547858922977</v>
      </c>
      <c r="S541" s="68">
        <f t="shared" si="71"/>
        <v>2.8564250266141804</v>
      </c>
      <c r="T541" s="68">
        <f t="shared" si="72"/>
        <v>2.813198982571934</v>
      </c>
      <c r="U541" s="68">
        <f t="shared" si="73"/>
        <v>96.55794241736601</v>
      </c>
    </row>
    <row r="542" spans="11:21" ht="15">
      <c r="K542">
        <f t="shared" si="67"/>
        <v>416</v>
      </c>
      <c r="L542" s="120">
        <f t="shared" si="74"/>
        <v>40894</v>
      </c>
      <c r="M542" s="118">
        <f t="shared" si="68"/>
        <v>108.08131584255959</v>
      </c>
      <c r="N542" s="68"/>
      <c r="O542" s="68"/>
      <c r="P542" s="68"/>
      <c r="Q542" s="68">
        <f t="shared" si="69"/>
        <v>2.9424628987544352</v>
      </c>
      <c r="R542" s="68">
        <f t="shared" si="70"/>
        <v>2.899294844054921</v>
      </c>
      <c r="S542" s="68">
        <f t="shared" si="71"/>
        <v>2.8567600958780925</v>
      </c>
      <c r="T542" s="68">
        <f t="shared" si="72"/>
        <v>2.8135289812603452</v>
      </c>
      <c r="U542" s="68">
        <f t="shared" si="73"/>
        <v>96.56926902261179</v>
      </c>
    </row>
    <row r="543" spans="11:21" ht="15">
      <c r="K543">
        <f t="shared" si="67"/>
        <v>417</v>
      </c>
      <c r="L543" s="120">
        <f t="shared" si="74"/>
        <v>40895</v>
      </c>
      <c r="M543" s="118">
        <f t="shared" si="68"/>
        <v>108.09399418230403</v>
      </c>
      <c r="N543" s="68"/>
      <c r="O543" s="68"/>
      <c r="P543" s="68"/>
      <c r="Q543" s="68">
        <f t="shared" si="69"/>
        <v>2.9428080605802793</v>
      </c>
      <c r="R543" s="68">
        <f t="shared" si="70"/>
        <v>2.89963494210763</v>
      </c>
      <c r="S543" s="68">
        <f t="shared" si="71"/>
        <v>2.857095204446873</v>
      </c>
      <c r="T543" s="68">
        <f t="shared" si="72"/>
        <v>2.813859018658828</v>
      </c>
      <c r="U543" s="68">
        <f t="shared" si="73"/>
        <v>96.58059695651042</v>
      </c>
    </row>
    <row r="544" spans="11:21" ht="15">
      <c r="K544">
        <f t="shared" si="67"/>
        <v>418</v>
      </c>
      <c r="L544" s="120">
        <f t="shared" si="74"/>
        <v>40896</v>
      </c>
      <c r="M544" s="118">
        <f t="shared" si="68"/>
        <v>108.10667400926482</v>
      </c>
      <c r="N544" s="68"/>
      <c r="O544" s="68"/>
      <c r="P544" s="68"/>
      <c r="Q544" s="68">
        <f t="shared" si="69"/>
        <v>2.9431532628948878</v>
      </c>
      <c r="R544" s="68">
        <f t="shared" si="70"/>
        <v>2.8999750800551034</v>
      </c>
      <c r="S544" s="68">
        <f t="shared" si="71"/>
        <v>2.857430352325133</v>
      </c>
      <c r="T544" s="68">
        <f t="shared" si="72"/>
        <v>2.8141890947719235</v>
      </c>
      <c r="U544" s="68">
        <f t="shared" si="73"/>
        <v>96.59192621921777</v>
      </c>
    </row>
    <row r="545" spans="11:21" ht="15">
      <c r="K545">
        <f t="shared" si="67"/>
        <v>419</v>
      </c>
      <c r="L545" s="120">
        <f t="shared" si="74"/>
        <v>40897</v>
      </c>
      <c r="M545" s="118">
        <f t="shared" si="68"/>
        <v>108.1193553236164</v>
      </c>
      <c r="N545" s="68"/>
      <c r="O545" s="68"/>
      <c r="P545" s="68"/>
      <c r="Q545" s="68">
        <f t="shared" si="69"/>
        <v>2.9434985057030087</v>
      </c>
      <c r="R545" s="68">
        <f t="shared" si="70"/>
        <v>2.9003152579020215</v>
      </c>
      <c r="S545" s="68">
        <f t="shared" si="71"/>
        <v>2.8577655395174846</v>
      </c>
      <c r="T545" s="68">
        <f t="shared" si="72"/>
        <v>2.8145192096041725</v>
      </c>
      <c r="U545" s="68">
        <f t="shared" si="73"/>
        <v>96.60325681088972</v>
      </c>
    </row>
    <row r="546" spans="11:21" ht="15">
      <c r="K546">
        <f aca="true" t="shared" si="75" ref="K546:K609">K545+1</f>
        <v>420</v>
      </c>
      <c r="L546" s="120">
        <f t="shared" si="74"/>
        <v>40898</v>
      </c>
      <c r="M546" s="118">
        <f aca="true" t="shared" si="76" ref="M546:M609">SUM(N546:U546)</f>
        <v>108.13203812553326</v>
      </c>
      <c r="N546" s="68"/>
      <c r="O546" s="68"/>
      <c r="P546" s="68"/>
      <c r="Q546" s="68">
        <f t="shared" si="69"/>
        <v>2.943843789009395</v>
      </c>
      <c r="R546" s="68">
        <f t="shared" si="70"/>
        <v>2.9006554756530645</v>
      </c>
      <c r="S546" s="68">
        <f t="shared" si="71"/>
        <v>2.8581007660285382</v>
      </c>
      <c r="T546" s="68">
        <f t="shared" si="72"/>
        <v>2.8148493631601177</v>
      </c>
      <c r="U546" s="68">
        <f t="shared" si="73"/>
        <v>96.61458873168215</v>
      </c>
    </row>
    <row r="547" spans="11:21" ht="15">
      <c r="K547">
        <f t="shared" si="75"/>
        <v>421</v>
      </c>
      <c r="L547" s="120">
        <f t="shared" si="74"/>
        <v>40899</v>
      </c>
      <c r="M547" s="118">
        <f t="shared" si="76"/>
        <v>108.14472241518989</v>
      </c>
      <c r="N547" s="68"/>
      <c r="O547" s="68"/>
      <c r="P547" s="68"/>
      <c r="Q547" s="68">
        <f t="shared" si="69"/>
        <v>2.9441891128187936</v>
      </c>
      <c r="R547" s="68">
        <f t="shared" si="70"/>
        <v>2.9009957333129126</v>
      </c>
      <c r="S547" s="68">
        <f t="shared" si="71"/>
        <v>2.8584360318629067</v>
      </c>
      <c r="T547" s="68">
        <f t="shared" si="72"/>
        <v>2.815179555444301</v>
      </c>
      <c r="U547" s="68">
        <f t="shared" si="73"/>
        <v>96.62592198175098</v>
      </c>
    </row>
    <row r="548" spans="11:21" ht="15">
      <c r="K548">
        <f t="shared" si="75"/>
        <v>422</v>
      </c>
      <c r="L548" s="120">
        <f t="shared" si="74"/>
        <v>40900</v>
      </c>
      <c r="M548" s="118">
        <f t="shared" si="76"/>
        <v>108.15740819276078</v>
      </c>
      <c r="N548" s="68"/>
      <c r="O548" s="68"/>
      <c r="P548" s="68"/>
      <c r="Q548" s="68">
        <f t="shared" si="69"/>
        <v>2.9445344771359587</v>
      </c>
      <c r="R548" s="68">
        <f t="shared" si="70"/>
        <v>2.9013360308862484</v>
      </c>
      <c r="S548" s="68">
        <f t="shared" si="71"/>
        <v>2.8587713370252024</v>
      </c>
      <c r="T548" s="68">
        <f t="shared" si="72"/>
        <v>2.8155097864612655</v>
      </c>
      <c r="U548" s="68">
        <f t="shared" si="73"/>
        <v>96.6372565612521</v>
      </c>
    </row>
    <row r="549" spans="11:21" ht="15">
      <c r="K549">
        <f t="shared" si="75"/>
        <v>423</v>
      </c>
      <c r="L549" s="120">
        <f t="shared" si="74"/>
        <v>40901</v>
      </c>
      <c r="M549" s="118">
        <f t="shared" si="76"/>
        <v>108.1700954584205</v>
      </c>
      <c r="N549" s="68"/>
      <c r="O549" s="68"/>
      <c r="P549" s="68"/>
      <c r="Q549" s="68">
        <f t="shared" si="69"/>
        <v>2.94487988196564</v>
      </c>
      <c r="R549" s="68">
        <f t="shared" si="70"/>
        <v>2.901676368377753</v>
      </c>
      <c r="S549" s="68">
        <f t="shared" si="71"/>
        <v>2.859106681520039</v>
      </c>
      <c r="T549" s="68">
        <f t="shared" si="72"/>
        <v>2.8158400562155546</v>
      </c>
      <c r="U549" s="68">
        <f t="shared" si="73"/>
        <v>96.64859247034151</v>
      </c>
    </row>
    <row r="550" spans="11:21" ht="15">
      <c r="K550">
        <f t="shared" si="75"/>
        <v>424</v>
      </c>
      <c r="L550" s="120">
        <f t="shared" si="74"/>
        <v>40902</v>
      </c>
      <c r="M550" s="118">
        <f t="shared" si="76"/>
        <v>108.1827842123436</v>
      </c>
      <c r="N550" s="68"/>
      <c r="O550" s="68"/>
      <c r="P550" s="68"/>
      <c r="Q550" s="68">
        <f t="shared" si="69"/>
        <v>2.9452253273125915</v>
      </c>
      <c r="R550" s="68">
        <f t="shared" si="70"/>
        <v>2.90201674579211</v>
      </c>
      <c r="S550" s="68">
        <f t="shared" si="71"/>
        <v>2.85944206535203</v>
      </c>
      <c r="T550" s="68">
        <f t="shared" si="72"/>
        <v>2.8161703647117124</v>
      </c>
      <c r="U550" s="68">
        <f t="shared" si="73"/>
        <v>96.65992970917516</v>
      </c>
    </row>
    <row r="551" spans="11:21" ht="15">
      <c r="K551">
        <f t="shared" si="75"/>
        <v>425</v>
      </c>
      <c r="L551" s="120">
        <f t="shared" si="74"/>
        <v>40903</v>
      </c>
      <c r="M551" s="118">
        <f t="shared" si="76"/>
        <v>108.19547445470468</v>
      </c>
      <c r="N551" s="68"/>
      <c r="O551" s="68"/>
      <c r="P551" s="68"/>
      <c r="Q551" s="68">
        <f t="shared" si="69"/>
        <v>2.9455708131815643</v>
      </c>
      <c r="R551" s="68">
        <f t="shared" si="70"/>
        <v>2.902357163134001</v>
      </c>
      <c r="S551" s="68">
        <f t="shared" si="71"/>
        <v>2.8597774885257907</v>
      </c>
      <c r="T551" s="68">
        <f t="shared" si="72"/>
        <v>2.816500711954284</v>
      </c>
      <c r="U551" s="68">
        <f t="shared" si="73"/>
        <v>96.67126827790904</v>
      </c>
    </row>
    <row r="552" spans="11:21" ht="15">
      <c r="K552">
        <f t="shared" si="75"/>
        <v>426</v>
      </c>
      <c r="L552" s="120">
        <f t="shared" si="74"/>
        <v>40904</v>
      </c>
      <c r="M552" s="118">
        <f t="shared" si="76"/>
        <v>108.20816618567831</v>
      </c>
      <c r="N552" s="68"/>
      <c r="O552" s="68"/>
      <c r="P552" s="68"/>
      <c r="Q552" s="68">
        <f t="shared" si="69"/>
        <v>2.945916339577313</v>
      </c>
      <c r="R552" s="68">
        <f t="shared" si="70"/>
        <v>2.9026976204081105</v>
      </c>
      <c r="S552" s="68">
        <f t="shared" si="71"/>
        <v>2.860112951045935</v>
      </c>
      <c r="T552" s="68">
        <f t="shared" si="72"/>
        <v>2.816831097947814</v>
      </c>
      <c r="U552" s="68">
        <f t="shared" si="73"/>
        <v>96.68260817669913</v>
      </c>
    </row>
    <row r="553" spans="11:21" ht="15">
      <c r="K553">
        <f t="shared" si="75"/>
        <v>427</v>
      </c>
      <c r="L553" s="120">
        <f t="shared" si="74"/>
        <v>40905</v>
      </c>
      <c r="M553" s="118">
        <f t="shared" si="76"/>
        <v>108.2208594054391</v>
      </c>
      <c r="N553" s="68"/>
      <c r="O553" s="68"/>
      <c r="P553" s="68"/>
      <c r="Q553" s="68">
        <f t="shared" si="69"/>
        <v>2.946261906504591</v>
      </c>
      <c r="R553" s="68">
        <f t="shared" si="70"/>
        <v>2.903038117619123</v>
      </c>
      <c r="S553" s="68">
        <f t="shared" si="71"/>
        <v>2.860448452917079</v>
      </c>
      <c r="T553" s="68">
        <f t="shared" si="72"/>
        <v>2.8171615226968476</v>
      </c>
      <c r="U553" s="68">
        <f t="shared" si="73"/>
        <v>96.69394940570146</v>
      </c>
    </row>
    <row r="554" spans="11:21" ht="15">
      <c r="K554">
        <f t="shared" si="75"/>
        <v>428</v>
      </c>
      <c r="L554" s="120">
        <f t="shared" si="74"/>
        <v>40906</v>
      </c>
      <c r="M554" s="118">
        <f t="shared" si="76"/>
        <v>108.2335541141617</v>
      </c>
      <c r="N554" s="68"/>
      <c r="O554" s="68"/>
      <c r="P554" s="68"/>
      <c r="Q554" s="68">
        <f t="shared" si="69"/>
        <v>2.9466075139681536</v>
      </c>
      <c r="R554" s="68">
        <f t="shared" si="70"/>
        <v>2.9033786547717226</v>
      </c>
      <c r="S554" s="68">
        <f t="shared" si="71"/>
        <v>2.860783994143838</v>
      </c>
      <c r="T554" s="68">
        <f t="shared" si="72"/>
        <v>2.8174919862059316</v>
      </c>
      <c r="U554" s="68">
        <f t="shared" si="73"/>
        <v>96.70529196507206</v>
      </c>
    </row>
    <row r="555" spans="11:21" ht="15">
      <c r="K555">
        <f t="shared" si="75"/>
        <v>429</v>
      </c>
      <c r="L555" s="120">
        <f t="shared" si="74"/>
        <v>40907</v>
      </c>
      <c r="M555" s="118">
        <f t="shared" si="76"/>
        <v>108.24625031202082</v>
      </c>
      <c r="N555" s="68"/>
      <c r="O555" s="68"/>
      <c r="P555" s="68"/>
      <c r="Q555" s="68">
        <f t="shared" si="69"/>
        <v>2.946953161972754</v>
      </c>
      <c r="R555" s="68">
        <f t="shared" si="70"/>
        <v>2.9037192318705958</v>
      </c>
      <c r="S555" s="68">
        <f t="shared" si="71"/>
        <v>2.8611195747308296</v>
      </c>
      <c r="T555" s="68">
        <f t="shared" si="72"/>
        <v>2.8178224884796124</v>
      </c>
      <c r="U555" s="68">
        <f t="shared" si="73"/>
        <v>96.71663585496702</v>
      </c>
    </row>
    <row r="556" spans="11:21" ht="15">
      <c r="K556">
        <f t="shared" si="75"/>
        <v>430</v>
      </c>
      <c r="L556" s="120">
        <f t="shared" si="74"/>
        <v>40908</v>
      </c>
      <c r="M556" s="118">
        <f t="shared" si="76"/>
        <v>108.25894799919107</v>
      </c>
      <c r="N556" s="68"/>
      <c r="O556" s="68"/>
      <c r="P556" s="68"/>
      <c r="Q556" s="68">
        <f t="shared" si="69"/>
        <v>2.9472988505231505</v>
      </c>
      <c r="R556" s="68">
        <f t="shared" si="70"/>
        <v>2.904059848920426</v>
      </c>
      <c r="S556" s="68">
        <f t="shared" si="71"/>
        <v>2.86145519468267</v>
      </c>
      <c r="T556" s="68">
        <f t="shared" si="72"/>
        <v>2.818153029522437</v>
      </c>
      <c r="U556" s="68">
        <f t="shared" si="73"/>
        <v>96.72798107554239</v>
      </c>
    </row>
    <row r="557" spans="11:21" ht="15">
      <c r="K557">
        <f t="shared" si="75"/>
        <v>431</v>
      </c>
      <c r="L557" s="120">
        <f t="shared" si="74"/>
        <v>40909</v>
      </c>
      <c r="M557" s="118">
        <f t="shared" si="76"/>
        <v>108.27164717584719</v>
      </c>
      <c r="N557" s="68"/>
      <c r="O557" s="68"/>
      <c r="P557" s="68"/>
      <c r="Q557" s="68">
        <f t="shared" si="69"/>
        <v>2.9476445796240967</v>
      </c>
      <c r="R557" s="68">
        <f t="shared" si="70"/>
        <v>2.9044005059259024</v>
      </c>
      <c r="S557" s="68">
        <f t="shared" si="71"/>
        <v>2.8617908540039774</v>
      </c>
      <c r="T557" s="68">
        <f t="shared" si="72"/>
        <v>2.8184836093389545</v>
      </c>
      <c r="U557" s="68">
        <f t="shared" si="73"/>
        <v>96.73932762695426</v>
      </c>
    </row>
    <row r="558" spans="11:21" ht="15">
      <c r="K558">
        <f t="shared" si="75"/>
        <v>432</v>
      </c>
      <c r="L558" s="120">
        <f t="shared" si="74"/>
        <v>40910</v>
      </c>
      <c r="M558" s="118">
        <f t="shared" si="76"/>
        <v>108.28434784216388</v>
      </c>
      <c r="N558" s="68"/>
      <c r="O558" s="68"/>
      <c r="P558" s="68"/>
      <c r="Q558" s="68">
        <f t="shared" si="69"/>
        <v>2.9479903492803503</v>
      </c>
      <c r="R558" s="68">
        <f t="shared" si="70"/>
        <v>2.90474120289171</v>
      </c>
      <c r="S558" s="68">
        <f t="shared" si="71"/>
        <v>2.8621265526993693</v>
      </c>
      <c r="T558" s="68">
        <f t="shared" si="72"/>
        <v>2.818814227933711</v>
      </c>
      <c r="U558" s="68">
        <f t="shared" si="73"/>
        <v>96.75067550935874</v>
      </c>
    </row>
    <row r="559" spans="11:21" ht="15">
      <c r="K559">
        <f t="shared" si="75"/>
        <v>433</v>
      </c>
      <c r="L559" s="120">
        <f t="shared" si="74"/>
        <v>40911</v>
      </c>
      <c r="M559" s="118">
        <f t="shared" si="76"/>
        <v>108.29704999831591</v>
      </c>
      <c r="N559" s="68"/>
      <c r="O559" s="68"/>
      <c r="P559" s="68"/>
      <c r="Q559" s="68">
        <f t="shared" si="69"/>
        <v>2.9483361594966695</v>
      </c>
      <c r="R559" s="68">
        <f t="shared" si="70"/>
        <v>2.9050819398225376</v>
      </c>
      <c r="S559" s="68">
        <f t="shared" si="71"/>
        <v>2.8624622907734656</v>
      </c>
      <c r="T559" s="68">
        <f t="shared" si="72"/>
        <v>2.8191448853112573</v>
      </c>
      <c r="U559" s="68">
        <f t="shared" si="73"/>
        <v>96.76202472291199</v>
      </c>
    </row>
    <row r="560" spans="11:21" ht="15">
      <c r="K560">
        <f t="shared" si="75"/>
        <v>434</v>
      </c>
      <c r="L560" s="120">
        <f t="shared" si="74"/>
        <v>40912</v>
      </c>
      <c r="M560" s="118">
        <f t="shared" si="76"/>
        <v>108.30975364447805</v>
      </c>
      <c r="N560" s="68"/>
      <c r="O560" s="68"/>
      <c r="P560" s="68"/>
      <c r="Q560" s="68">
        <f t="shared" si="69"/>
        <v>2.948682010277811</v>
      </c>
      <c r="R560" s="68">
        <f t="shared" si="70"/>
        <v>2.905422716723072</v>
      </c>
      <c r="S560" s="68">
        <f t="shared" si="71"/>
        <v>2.8627980682308847</v>
      </c>
      <c r="T560" s="68">
        <f t="shared" si="72"/>
        <v>2.819475581476142</v>
      </c>
      <c r="U560" s="68">
        <f t="shared" si="73"/>
        <v>96.77337526777013</v>
      </c>
    </row>
    <row r="561" spans="11:21" ht="15">
      <c r="K561">
        <f t="shared" si="75"/>
        <v>435</v>
      </c>
      <c r="L561" s="120">
        <f t="shared" si="74"/>
        <v>40913</v>
      </c>
      <c r="M561" s="118">
        <f t="shared" si="76"/>
        <v>108.32245878082504</v>
      </c>
      <c r="N561" s="68"/>
      <c r="O561" s="68"/>
      <c r="P561" s="68"/>
      <c r="Q561" s="68">
        <f t="shared" si="69"/>
        <v>2.9490279016285332</v>
      </c>
      <c r="R561" s="68">
        <f t="shared" si="70"/>
        <v>2.905763533598003</v>
      </c>
      <c r="S561" s="68">
        <f t="shared" si="71"/>
        <v>2.863133885076246</v>
      </c>
      <c r="T561" s="68">
        <f t="shared" si="72"/>
        <v>2.819806316432915</v>
      </c>
      <c r="U561" s="68">
        <f t="shared" si="73"/>
        <v>96.78472714408935</v>
      </c>
    </row>
    <row r="562" spans="11:21" ht="15">
      <c r="K562">
        <f t="shared" si="75"/>
        <v>436</v>
      </c>
      <c r="L562" s="120">
        <f t="shared" si="74"/>
        <v>40914</v>
      </c>
      <c r="M562" s="118">
        <f t="shared" si="76"/>
        <v>108.33516540753172</v>
      </c>
      <c r="N562" s="68"/>
      <c r="O562" s="68"/>
      <c r="P562" s="68"/>
      <c r="Q562" s="68">
        <f t="shared" si="69"/>
        <v>2.949373833553596</v>
      </c>
      <c r="R562" s="68">
        <f t="shared" si="70"/>
        <v>2.906104390452019</v>
      </c>
      <c r="S562" s="68">
        <f t="shared" si="71"/>
        <v>2.8634697413141708</v>
      </c>
      <c r="T562" s="68">
        <f t="shared" si="72"/>
        <v>2.820137090186127</v>
      </c>
      <c r="U562" s="68">
        <f t="shared" si="73"/>
        <v>96.7960803520258</v>
      </c>
    </row>
    <row r="563" spans="11:21" ht="15">
      <c r="K563">
        <f t="shared" si="75"/>
        <v>437</v>
      </c>
      <c r="L563" s="120">
        <f t="shared" si="74"/>
        <v>40915</v>
      </c>
      <c r="M563" s="118">
        <f t="shared" si="76"/>
        <v>108.3478735247729</v>
      </c>
      <c r="N563" s="68"/>
      <c r="O563" s="68"/>
      <c r="P563" s="68"/>
      <c r="Q563" s="68">
        <f t="shared" si="69"/>
        <v>2.949719806057758</v>
      </c>
      <c r="R563" s="68">
        <f t="shared" si="70"/>
        <v>2.90644528728981</v>
      </c>
      <c r="S563" s="68">
        <f t="shared" si="71"/>
        <v>2.8638056369492797</v>
      </c>
      <c r="T563" s="68">
        <f t="shared" si="72"/>
        <v>2.8204679027403277</v>
      </c>
      <c r="U563" s="68">
        <f t="shared" si="73"/>
        <v>96.80743489173572</v>
      </c>
    </row>
    <row r="564" spans="11:21" ht="15">
      <c r="K564">
        <f t="shared" si="75"/>
        <v>438</v>
      </c>
      <c r="L564" s="120">
        <f t="shared" si="74"/>
        <v>40916</v>
      </c>
      <c r="M564" s="118">
        <f t="shared" si="76"/>
        <v>108.3605831327234</v>
      </c>
      <c r="N564" s="68"/>
      <c r="O564" s="68"/>
      <c r="P564" s="68"/>
      <c r="Q564" s="68">
        <f t="shared" si="69"/>
        <v>2.95006581914578</v>
      </c>
      <c r="R564" s="68">
        <f t="shared" si="70"/>
        <v>2.9067862241160656</v>
      </c>
      <c r="S564" s="68">
        <f t="shared" si="71"/>
        <v>2.864141571986194</v>
      </c>
      <c r="T564" s="68">
        <f t="shared" si="72"/>
        <v>2.82079875410007</v>
      </c>
      <c r="U564" s="68">
        <f t="shared" si="73"/>
        <v>96.8187907633753</v>
      </c>
    </row>
    <row r="565" spans="11:21" ht="15">
      <c r="K565">
        <f t="shared" si="75"/>
        <v>439</v>
      </c>
      <c r="L565" s="120">
        <f t="shared" si="74"/>
        <v>40917</v>
      </c>
      <c r="M565" s="118">
        <f t="shared" si="76"/>
        <v>108.37329423155815</v>
      </c>
      <c r="N565" s="68"/>
      <c r="O565" s="68"/>
      <c r="P565" s="68"/>
      <c r="Q565" s="68">
        <f t="shared" si="69"/>
        <v>2.950411872822422</v>
      </c>
      <c r="R565" s="68">
        <f t="shared" si="70"/>
        <v>2.907127200935477</v>
      </c>
      <c r="S565" s="68">
        <f t="shared" si="71"/>
        <v>2.864477546429536</v>
      </c>
      <c r="T565" s="68">
        <f t="shared" si="72"/>
        <v>2.8211296442699054</v>
      </c>
      <c r="U565" s="68">
        <f t="shared" si="73"/>
        <v>96.83014796710081</v>
      </c>
    </row>
    <row r="566" spans="11:21" ht="15">
      <c r="K566">
        <f t="shared" si="75"/>
        <v>440</v>
      </c>
      <c r="L566" s="120">
        <f t="shared" si="74"/>
        <v>40918</v>
      </c>
      <c r="M566" s="118">
        <f t="shared" si="76"/>
        <v>108.386006821452</v>
      </c>
      <c r="N566" s="68"/>
      <c r="O566" s="68"/>
      <c r="P566" s="68"/>
      <c r="Q566" s="68">
        <f t="shared" si="69"/>
        <v>2.950757967092445</v>
      </c>
      <c r="R566" s="68">
        <f t="shared" si="70"/>
        <v>2.907468217752736</v>
      </c>
      <c r="S566" s="68">
        <f t="shared" si="71"/>
        <v>2.8648135602839275</v>
      </c>
      <c r="T566" s="68">
        <f t="shared" si="72"/>
        <v>2.821460573254387</v>
      </c>
      <c r="U566" s="68">
        <f t="shared" si="73"/>
        <v>96.8415065030685</v>
      </c>
    </row>
    <row r="567" spans="11:21" ht="15">
      <c r="K567">
        <f t="shared" si="75"/>
        <v>441</v>
      </c>
      <c r="L567" s="120">
        <f t="shared" si="74"/>
        <v>40919</v>
      </c>
      <c r="M567" s="118">
        <f t="shared" si="76"/>
        <v>108.39872090257985</v>
      </c>
      <c r="N567" s="68"/>
      <c r="O567" s="68"/>
      <c r="P567" s="68"/>
      <c r="Q567" s="68">
        <f t="shared" si="69"/>
        <v>2.9511041019606123</v>
      </c>
      <c r="R567" s="68">
        <f t="shared" si="70"/>
        <v>2.9078092745725344</v>
      </c>
      <c r="S567" s="68">
        <f t="shared" si="71"/>
        <v>2.8651496135539922</v>
      </c>
      <c r="T567" s="68">
        <f t="shared" si="72"/>
        <v>2.821791541058068</v>
      </c>
      <c r="U567" s="68">
        <f t="shared" si="73"/>
        <v>96.85286637143464</v>
      </c>
    </row>
    <row r="568" spans="11:21" ht="15">
      <c r="K568">
        <f t="shared" si="75"/>
        <v>442</v>
      </c>
      <c r="L568" s="120">
        <f t="shared" si="74"/>
        <v>40920</v>
      </c>
      <c r="M568" s="118">
        <f t="shared" si="76"/>
        <v>108.41143647511663</v>
      </c>
      <c r="N568" s="68"/>
      <c r="O568" s="68"/>
      <c r="P568" s="68"/>
      <c r="Q568" s="68">
        <f t="shared" si="69"/>
        <v>2.951450277431684</v>
      </c>
      <c r="R568" s="68">
        <f t="shared" si="70"/>
        <v>2.9081503713995644</v>
      </c>
      <c r="S568" s="68">
        <f t="shared" si="71"/>
        <v>2.8654857062443533</v>
      </c>
      <c r="T568" s="68">
        <f t="shared" si="72"/>
        <v>2.8221225476855003</v>
      </c>
      <c r="U568" s="68">
        <f t="shared" si="73"/>
        <v>96.86422757235553</v>
      </c>
    </row>
    <row r="569" spans="11:21" ht="15">
      <c r="K569">
        <f t="shared" si="75"/>
        <v>443</v>
      </c>
      <c r="L569" s="120">
        <f t="shared" si="74"/>
        <v>40921</v>
      </c>
      <c r="M569" s="118">
        <f t="shared" si="76"/>
        <v>108.4241535392373</v>
      </c>
      <c r="N569" s="68"/>
      <c r="O569" s="68"/>
      <c r="P569" s="68"/>
      <c r="Q569" s="68">
        <f t="shared" si="69"/>
        <v>2.951796493510425</v>
      </c>
      <c r="R569" s="68">
        <f t="shared" si="70"/>
        <v>2.908491508238518</v>
      </c>
      <c r="S569" s="68">
        <f t="shared" si="71"/>
        <v>2.8658218383596354</v>
      </c>
      <c r="T569" s="68">
        <f t="shared" si="72"/>
        <v>2.82245359314124</v>
      </c>
      <c r="U569" s="68">
        <f t="shared" si="73"/>
        <v>96.87559010598747</v>
      </c>
    </row>
    <row r="570" spans="11:21" ht="15">
      <c r="K570">
        <f t="shared" si="75"/>
        <v>444</v>
      </c>
      <c r="L570" s="120">
        <f t="shared" si="74"/>
        <v>40922</v>
      </c>
      <c r="M570" s="118">
        <f t="shared" si="76"/>
        <v>108.4368720951168</v>
      </c>
      <c r="N570" s="68"/>
      <c r="O570" s="68"/>
      <c r="P570" s="68"/>
      <c r="Q570" s="68">
        <f t="shared" si="69"/>
        <v>2.9521427502015976</v>
      </c>
      <c r="R570" s="68">
        <f t="shared" si="70"/>
        <v>2.908832685094091</v>
      </c>
      <c r="S570" s="68">
        <f t="shared" si="71"/>
        <v>2.866158009904463</v>
      </c>
      <c r="T570" s="68">
        <f t="shared" si="72"/>
        <v>2.8227846774298406</v>
      </c>
      <c r="U570" s="68">
        <f t="shared" si="73"/>
        <v>96.88695397248681</v>
      </c>
    </row>
    <row r="571" spans="11:21" ht="15">
      <c r="K571">
        <f t="shared" si="75"/>
        <v>445</v>
      </c>
      <c r="L571" s="120">
        <f t="shared" si="74"/>
        <v>40923</v>
      </c>
      <c r="M571" s="118">
        <f t="shared" si="76"/>
        <v>108.44959214293016</v>
      </c>
      <c r="N571" s="68"/>
      <c r="O571" s="68"/>
      <c r="P571" s="68"/>
      <c r="Q571" s="68">
        <f t="shared" si="69"/>
        <v>2.9524890475099657</v>
      </c>
      <c r="R571" s="68">
        <f t="shared" si="70"/>
        <v>2.9091739019709753</v>
      </c>
      <c r="S571" s="68">
        <f t="shared" si="71"/>
        <v>2.8664942208834616</v>
      </c>
      <c r="T571" s="68">
        <f t="shared" si="72"/>
        <v>2.8231158005558585</v>
      </c>
      <c r="U571" s="68">
        <f t="shared" si="73"/>
        <v>96.89831917200989</v>
      </c>
    </row>
    <row r="572" spans="11:21" ht="15">
      <c r="K572">
        <f t="shared" si="75"/>
        <v>446</v>
      </c>
      <c r="L572" s="120">
        <f t="shared" si="74"/>
        <v>40924</v>
      </c>
      <c r="M572" s="118">
        <f t="shared" si="76"/>
        <v>108.46231368285235</v>
      </c>
      <c r="N572" s="68"/>
      <c r="O572" s="68"/>
      <c r="P572" s="68"/>
      <c r="Q572" s="68">
        <f t="shared" si="69"/>
        <v>2.9528353854402942</v>
      </c>
      <c r="R572" s="68">
        <f t="shared" si="70"/>
        <v>2.9095151588738672</v>
      </c>
      <c r="S572" s="68">
        <f t="shared" si="71"/>
        <v>2.866830471301256</v>
      </c>
      <c r="T572" s="68">
        <f t="shared" si="72"/>
        <v>2.8234469625238487</v>
      </c>
      <c r="U572" s="68">
        <f t="shared" si="73"/>
        <v>96.90968570471308</v>
      </c>
    </row>
    <row r="573" spans="11:21" ht="15">
      <c r="K573">
        <f t="shared" si="75"/>
        <v>447</v>
      </c>
      <c r="L573" s="120">
        <f t="shared" si="74"/>
        <v>40925</v>
      </c>
      <c r="M573" s="118">
        <f t="shared" si="76"/>
        <v>108.47503671505844</v>
      </c>
      <c r="N573" s="68"/>
      <c r="O573" s="68"/>
      <c r="P573" s="68"/>
      <c r="Q573" s="68">
        <f t="shared" si="69"/>
        <v>2.9531817639973483</v>
      </c>
      <c r="R573" s="68">
        <f t="shared" si="70"/>
        <v>2.9098564558074607</v>
      </c>
      <c r="S573" s="68">
        <f t="shared" si="71"/>
        <v>2.8671667611624736</v>
      </c>
      <c r="T573" s="68">
        <f t="shared" si="72"/>
        <v>2.823778163338367</v>
      </c>
      <c r="U573" s="68">
        <f t="shared" si="73"/>
        <v>96.92105357075279</v>
      </c>
    </row>
    <row r="574" spans="11:21" ht="15">
      <c r="K574">
        <f t="shared" si="75"/>
        <v>448</v>
      </c>
      <c r="L574" s="120">
        <f t="shared" si="74"/>
        <v>40926</v>
      </c>
      <c r="M574" s="118">
        <f t="shared" si="76"/>
        <v>108.48776123972344</v>
      </c>
      <c r="N574" s="68"/>
      <c r="O574" s="68"/>
      <c r="P574" s="68"/>
      <c r="Q574" s="68">
        <f aca="true" t="shared" si="77" ref="Q574:Q581">$K$50/(1+$L$123/100)^(($J$50-K574)/252)</f>
        <v>2.953528183185893</v>
      </c>
      <c r="R574" s="68">
        <f aca="true" t="shared" si="78" ref="R574:R637">$K$51/(1+$L$123/100)^(($J$51-K574)/252)</f>
        <v>2.9101977927764517</v>
      </c>
      <c r="S574" s="68">
        <f aca="true" t="shared" si="79" ref="S574:S637">$K$52/(1+$L$123/100)^(($J$52-K574)/252)</f>
        <v>2.867503090471741</v>
      </c>
      <c r="T574" s="68">
        <f aca="true" t="shared" si="80" ref="T574:T637">$K$53/(1+$L$123/100)^(($J$53-K574)/252)</f>
        <v>2.824109403003972</v>
      </c>
      <c r="U574" s="68">
        <f aca="true" t="shared" si="81" ref="U574:U637">$K$54/(1+$L$123/100)^(($J$54-K574)/252)</f>
        <v>96.93242277028538</v>
      </c>
    </row>
    <row r="575" spans="11:21" ht="15">
      <c r="K575">
        <f t="shared" si="75"/>
        <v>449</v>
      </c>
      <c r="L575" s="120">
        <f t="shared" si="74"/>
        <v>40927</v>
      </c>
      <c r="M575" s="118">
        <f t="shared" si="76"/>
        <v>108.50048725702247</v>
      </c>
      <c r="N575" s="68"/>
      <c r="O575" s="68"/>
      <c r="P575" s="68"/>
      <c r="Q575" s="68">
        <f t="shared" si="77"/>
        <v>2.9538746430106952</v>
      </c>
      <c r="R575" s="68">
        <f t="shared" si="78"/>
        <v>2.910539169785538</v>
      </c>
      <c r="S575" s="68">
        <f t="shared" si="79"/>
        <v>2.8678394592336853</v>
      </c>
      <c r="T575" s="68">
        <f t="shared" si="80"/>
        <v>2.824440681525219</v>
      </c>
      <c r="U575" s="68">
        <f t="shared" si="81"/>
        <v>96.94379330346733</v>
      </c>
    </row>
    <row r="576" spans="11:21" ht="15">
      <c r="K576">
        <f t="shared" si="75"/>
        <v>450</v>
      </c>
      <c r="L576" s="120">
        <f aca="true" t="shared" si="82" ref="L576:L639">L575+1</f>
        <v>40928</v>
      </c>
      <c r="M576" s="118">
        <f t="shared" si="76"/>
        <v>108.51321476713056</v>
      </c>
      <c r="N576" s="68"/>
      <c r="O576" s="68"/>
      <c r="P576" s="68"/>
      <c r="Q576" s="68">
        <f t="shared" si="77"/>
        <v>2.954221143476522</v>
      </c>
      <c r="R576" s="68">
        <f t="shared" si="78"/>
        <v>2.9108805868394145</v>
      </c>
      <c r="S576" s="68">
        <f t="shared" si="79"/>
        <v>2.8681758674529343</v>
      </c>
      <c r="T576" s="68">
        <f t="shared" si="80"/>
        <v>2.824771998906667</v>
      </c>
      <c r="U576" s="68">
        <f t="shared" si="81"/>
        <v>96.95516517045502</v>
      </c>
    </row>
    <row r="577" spans="11:21" ht="15">
      <c r="K577">
        <f t="shared" si="75"/>
        <v>451</v>
      </c>
      <c r="L577" s="120">
        <f t="shared" si="82"/>
        <v>40929</v>
      </c>
      <c r="M577" s="118">
        <f t="shared" si="76"/>
        <v>108.52594377022287</v>
      </c>
      <c r="N577" s="68"/>
      <c r="O577" s="68"/>
      <c r="P577" s="68"/>
      <c r="Q577" s="68">
        <f t="shared" si="77"/>
        <v>2.9545676845881403</v>
      </c>
      <c r="R577" s="68">
        <f t="shared" si="78"/>
        <v>2.911222043942779</v>
      </c>
      <c r="S577" s="68">
        <f t="shared" si="79"/>
        <v>2.868512315134117</v>
      </c>
      <c r="T577" s="68">
        <f t="shared" si="80"/>
        <v>2.8251033551528746</v>
      </c>
      <c r="U577" s="68">
        <f t="shared" si="81"/>
        <v>96.96653837140495</v>
      </c>
    </row>
    <row r="578" spans="11:21" ht="15">
      <c r="K578">
        <f t="shared" si="75"/>
        <v>452</v>
      </c>
      <c r="L578" s="120">
        <f t="shared" si="82"/>
        <v>40930</v>
      </c>
      <c r="M578" s="118">
        <f t="shared" si="76"/>
        <v>108.53867426647449</v>
      </c>
      <c r="N578" s="68"/>
      <c r="O578" s="68"/>
      <c r="P578" s="68"/>
      <c r="Q578" s="68">
        <f t="shared" si="77"/>
        <v>2.9549142663503183</v>
      </c>
      <c r="R578" s="68">
        <f t="shared" si="78"/>
        <v>2.911563541100331</v>
      </c>
      <c r="S578" s="68">
        <f t="shared" si="79"/>
        <v>2.8688488022818617</v>
      </c>
      <c r="T578" s="68">
        <f t="shared" si="80"/>
        <v>2.8254347502684003</v>
      </c>
      <c r="U578" s="68">
        <f t="shared" si="81"/>
        <v>96.97791290647358</v>
      </c>
    </row>
    <row r="579" spans="11:21" ht="15">
      <c r="K579">
        <f t="shared" si="75"/>
        <v>453</v>
      </c>
      <c r="L579" s="120">
        <f t="shared" si="82"/>
        <v>40931</v>
      </c>
      <c r="M579" s="118">
        <f t="shared" si="76"/>
        <v>108.55140625606062</v>
      </c>
      <c r="N579" s="68"/>
      <c r="O579" s="68"/>
      <c r="P579" s="68"/>
      <c r="Q579" s="68">
        <f t="shared" si="77"/>
        <v>2.9552608887678233</v>
      </c>
      <c r="R579" s="68">
        <f t="shared" si="78"/>
        <v>2.9119050783167673</v>
      </c>
      <c r="S579" s="68">
        <f t="shared" si="79"/>
        <v>2.8691853289007994</v>
      </c>
      <c r="T579" s="68">
        <f t="shared" si="80"/>
        <v>2.8257661842578035</v>
      </c>
      <c r="U579" s="68">
        <f t="shared" si="81"/>
        <v>96.98928877581743</v>
      </c>
    </row>
    <row r="580" spans="11:21" ht="15">
      <c r="K580">
        <f t="shared" si="75"/>
        <v>454</v>
      </c>
      <c r="L580" s="120">
        <f t="shared" si="82"/>
        <v>40932</v>
      </c>
      <c r="M580" s="118">
        <f t="shared" si="76"/>
        <v>108.56413973915642</v>
      </c>
      <c r="N580" s="68"/>
      <c r="O580" s="68"/>
      <c r="P580" s="68"/>
      <c r="Q580" s="68">
        <f t="shared" si="77"/>
        <v>2.9556075518454255</v>
      </c>
      <c r="R580" s="68">
        <f t="shared" si="78"/>
        <v>2.9122466555967867</v>
      </c>
      <c r="S580" s="68">
        <f t="shared" si="79"/>
        <v>2.869521894995559</v>
      </c>
      <c r="T580" s="68">
        <f t="shared" si="80"/>
        <v>2.826097657125645</v>
      </c>
      <c r="U580" s="68">
        <f t="shared" si="81"/>
        <v>97.000665979593</v>
      </c>
    </row>
    <row r="581" spans="11:21" ht="15">
      <c r="K581">
        <f t="shared" si="75"/>
        <v>455</v>
      </c>
      <c r="L581" s="120">
        <f t="shared" si="82"/>
        <v>40933</v>
      </c>
      <c r="M581" s="118">
        <f t="shared" si="76"/>
        <v>108.57687471593708</v>
      </c>
      <c r="N581" s="68"/>
      <c r="O581" s="68"/>
      <c r="P581" s="68"/>
      <c r="Q581" s="68">
        <f t="shared" si="77"/>
        <v>2.9559542555878946</v>
      </c>
      <c r="R581" s="68">
        <f t="shared" si="78"/>
        <v>2.912588272945091</v>
      </c>
      <c r="S581" s="68">
        <f t="shared" si="79"/>
        <v>2.869858500570771</v>
      </c>
      <c r="T581" s="68">
        <f t="shared" si="80"/>
        <v>2.826429168876485</v>
      </c>
      <c r="U581" s="68">
        <f t="shared" si="81"/>
        <v>97.01204451795684</v>
      </c>
    </row>
    <row r="582" spans="11:21" ht="15">
      <c r="K582">
        <f t="shared" si="75"/>
        <v>456</v>
      </c>
      <c r="L582" s="120">
        <f t="shared" si="82"/>
        <v>40934</v>
      </c>
      <c r="M582" s="118">
        <f t="shared" si="76"/>
        <v>105.63331018657779</v>
      </c>
      <c r="N582" s="68"/>
      <c r="O582" s="68"/>
      <c r="P582" s="68"/>
      <c r="Q582" s="68"/>
      <c r="R582" s="68">
        <f t="shared" si="78"/>
        <v>2.912929930366378</v>
      </c>
      <c r="S582" s="68">
        <f t="shared" si="79"/>
        <v>2.870195145631068</v>
      </c>
      <c r="T582" s="68">
        <f t="shared" si="80"/>
        <v>2.8267607195148843</v>
      </c>
      <c r="U582" s="68">
        <f t="shared" si="81"/>
        <v>97.02342439106546</v>
      </c>
    </row>
    <row r="583" spans="11:21" ht="15">
      <c r="K583">
        <f t="shared" si="75"/>
        <v>457</v>
      </c>
      <c r="L583" s="120">
        <f t="shared" si="82"/>
        <v>40935</v>
      </c>
      <c r="M583" s="118">
        <f t="shared" si="76"/>
        <v>105.64570136616732</v>
      </c>
      <c r="N583" s="68"/>
      <c r="O583" s="68"/>
      <c r="P583" s="68"/>
      <c r="Q583" s="68"/>
      <c r="R583" s="68">
        <f t="shared" si="78"/>
        <v>2.9132716278653494</v>
      </c>
      <c r="S583" s="68">
        <f t="shared" si="79"/>
        <v>2.87053183018108</v>
      </c>
      <c r="T583" s="68">
        <f t="shared" si="80"/>
        <v>2.8270923090454048</v>
      </c>
      <c r="U583" s="68">
        <f t="shared" si="81"/>
        <v>97.03480559907548</v>
      </c>
    </row>
    <row r="584" spans="11:21" ht="15">
      <c r="K584">
        <f t="shared" si="75"/>
        <v>458</v>
      </c>
      <c r="L584" s="120">
        <f t="shared" si="82"/>
        <v>40936</v>
      </c>
      <c r="M584" s="118">
        <f t="shared" si="76"/>
        <v>105.65809399928821</v>
      </c>
      <c r="N584" s="68"/>
      <c r="O584" s="68"/>
      <c r="P584" s="68"/>
      <c r="Q584" s="68"/>
      <c r="R584" s="68">
        <f t="shared" si="78"/>
        <v>2.9136133654467065</v>
      </c>
      <c r="S584" s="68">
        <f t="shared" si="79"/>
        <v>2.8708685542254404</v>
      </c>
      <c r="T584" s="68">
        <f t="shared" si="80"/>
        <v>2.8274239374726085</v>
      </c>
      <c r="U584" s="68">
        <f t="shared" si="81"/>
        <v>97.04618814214346</v>
      </c>
    </row>
    <row r="585" spans="11:21" ht="15">
      <c r="K585">
        <f t="shared" si="75"/>
        <v>459</v>
      </c>
      <c r="L585" s="120">
        <f t="shared" si="82"/>
        <v>40937</v>
      </c>
      <c r="M585" s="118">
        <f t="shared" si="76"/>
        <v>105.67048808611102</v>
      </c>
      <c r="N585" s="68"/>
      <c r="O585" s="68"/>
      <c r="P585" s="68"/>
      <c r="Q585" s="68"/>
      <c r="R585" s="68">
        <f t="shared" si="78"/>
        <v>2.9139551431151514</v>
      </c>
      <c r="S585" s="68">
        <f t="shared" si="79"/>
        <v>2.8712053177687813</v>
      </c>
      <c r="T585" s="68">
        <f t="shared" si="80"/>
        <v>2.8277556048010584</v>
      </c>
      <c r="U585" s="68">
        <f t="shared" si="81"/>
        <v>97.05757202042602</v>
      </c>
    </row>
    <row r="586" spans="11:21" ht="15">
      <c r="K586">
        <f t="shared" si="75"/>
        <v>460</v>
      </c>
      <c r="L586" s="120">
        <f t="shared" si="82"/>
        <v>40938</v>
      </c>
      <c r="M586" s="118">
        <f t="shared" si="76"/>
        <v>105.6828836268062</v>
      </c>
      <c r="N586" s="68"/>
      <c r="O586" s="68"/>
      <c r="P586" s="68"/>
      <c r="Q586" s="68"/>
      <c r="R586" s="68">
        <f t="shared" si="78"/>
        <v>2.9142969608753857</v>
      </c>
      <c r="S586" s="68">
        <f t="shared" si="79"/>
        <v>2.8715421208157372</v>
      </c>
      <c r="T586" s="68">
        <f t="shared" si="80"/>
        <v>2.828087311035318</v>
      </c>
      <c r="U586" s="68">
        <f t="shared" si="81"/>
        <v>97.06895723407976</v>
      </c>
    </row>
    <row r="587" spans="11:21" ht="15">
      <c r="K587">
        <f t="shared" si="75"/>
        <v>461</v>
      </c>
      <c r="L587" s="120">
        <f t="shared" si="82"/>
        <v>40939</v>
      </c>
      <c r="M587" s="118">
        <f t="shared" si="76"/>
        <v>105.69528062154436</v>
      </c>
      <c r="N587" s="68"/>
      <c r="O587" s="68"/>
      <c r="P587" s="68"/>
      <c r="Q587" s="68"/>
      <c r="R587" s="68">
        <f t="shared" si="78"/>
        <v>2.9146388187321133</v>
      </c>
      <c r="S587" s="68">
        <f t="shared" si="79"/>
        <v>2.871878963370941</v>
      </c>
      <c r="T587" s="68">
        <f t="shared" si="80"/>
        <v>2.828419056179951</v>
      </c>
      <c r="U587" s="68">
        <f t="shared" si="81"/>
        <v>97.08034378326136</v>
      </c>
    </row>
    <row r="588" spans="11:21" ht="15">
      <c r="K588">
        <f t="shared" si="75"/>
        <v>462</v>
      </c>
      <c r="L588" s="120">
        <f t="shared" si="82"/>
        <v>40940</v>
      </c>
      <c r="M588" s="118">
        <f t="shared" si="76"/>
        <v>105.70767907049606</v>
      </c>
      <c r="N588" s="68"/>
      <c r="O588" s="68"/>
      <c r="P588" s="68"/>
      <c r="Q588" s="68"/>
      <c r="R588" s="68">
        <f t="shared" si="78"/>
        <v>2.9149807166900366</v>
      </c>
      <c r="S588" s="68">
        <f t="shared" si="79"/>
        <v>2.8722158454390274</v>
      </c>
      <c r="T588" s="68">
        <f t="shared" si="80"/>
        <v>2.828750840239521</v>
      </c>
      <c r="U588" s="68">
        <f t="shared" si="81"/>
        <v>97.09173166812747</v>
      </c>
    </row>
    <row r="589" spans="11:21" ht="15">
      <c r="K589">
        <f t="shared" si="75"/>
        <v>463</v>
      </c>
      <c r="L589" s="120">
        <f t="shared" si="82"/>
        <v>40941</v>
      </c>
      <c r="M589" s="118">
        <f t="shared" si="76"/>
        <v>105.72007897383183</v>
      </c>
      <c r="N589" s="68"/>
      <c r="O589" s="68"/>
      <c r="P589" s="68"/>
      <c r="Q589" s="68"/>
      <c r="R589" s="68">
        <f t="shared" si="78"/>
        <v>2.91532265475386</v>
      </c>
      <c r="S589" s="68">
        <f t="shared" si="79"/>
        <v>2.8725527670246316</v>
      </c>
      <c r="T589" s="68">
        <f t="shared" si="80"/>
        <v>2.8290826632185935</v>
      </c>
      <c r="U589" s="68">
        <f t="shared" si="81"/>
        <v>97.10312088883475</v>
      </c>
    </row>
    <row r="590" spans="11:21" ht="15">
      <c r="K590">
        <f t="shared" si="75"/>
        <v>464</v>
      </c>
      <c r="L590" s="120">
        <f t="shared" si="82"/>
        <v>40942</v>
      </c>
      <c r="M590" s="118">
        <f t="shared" si="76"/>
        <v>105.73248033172234</v>
      </c>
      <c r="N590" s="68"/>
      <c r="O590" s="68"/>
      <c r="P590" s="68"/>
      <c r="Q590" s="68"/>
      <c r="R590" s="68">
        <f t="shared" si="78"/>
        <v>2.915664632928289</v>
      </c>
      <c r="S590" s="68">
        <f t="shared" si="79"/>
        <v>2.8728897281323893</v>
      </c>
      <c r="T590" s="68">
        <f t="shared" si="80"/>
        <v>2.829414525121734</v>
      </c>
      <c r="U590" s="68">
        <f t="shared" si="81"/>
        <v>97.11451144553993</v>
      </c>
    </row>
    <row r="591" spans="11:21" ht="15">
      <c r="K591">
        <f t="shared" si="75"/>
        <v>465</v>
      </c>
      <c r="L591" s="120">
        <f t="shared" si="82"/>
        <v>40943</v>
      </c>
      <c r="M591" s="118">
        <f t="shared" si="76"/>
        <v>105.74488314433819</v>
      </c>
      <c r="N591" s="68"/>
      <c r="O591" s="68"/>
      <c r="P591" s="68"/>
      <c r="Q591" s="68"/>
      <c r="R591" s="68">
        <f t="shared" si="78"/>
        <v>2.9160066512180274</v>
      </c>
      <c r="S591" s="68">
        <f t="shared" si="79"/>
        <v>2.8732267287669364</v>
      </c>
      <c r="T591" s="68">
        <f t="shared" si="80"/>
        <v>2.8297464259535077</v>
      </c>
      <c r="U591" s="68">
        <f t="shared" si="81"/>
        <v>97.12590333839972</v>
      </c>
    </row>
    <row r="592" spans="11:21" ht="15">
      <c r="K592">
        <f t="shared" si="75"/>
        <v>466</v>
      </c>
      <c r="L592" s="120">
        <f t="shared" si="82"/>
        <v>40944</v>
      </c>
      <c r="M592" s="118">
        <f t="shared" si="76"/>
        <v>105.75728741185002</v>
      </c>
      <c r="N592" s="68"/>
      <c r="O592" s="68"/>
      <c r="P592" s="68"/>
      <c r="Q592" s="68"/>
      <c r="R592" s="68">
        <f t="shared" si="78"/>
        <v>2.9163487096277816</v>
      </c>
      <c r="S592" s="68">
        <f t="shared" si="79"/>
        <v>2.873563768932909</v>
      </c>
      <c r="T592" s="68">
        <f t="shared" si="80"/>
        <v>2.830078365718482</v>
      </c>
      <c r="U592" s="68">
        <f t="shared" si="81"/>
        <v>97.13729656757084</v>
      </c>
    </row>
    <row r="593" spans="11:21" ht="15">
      <c r="K593">
        <f t="shared" si="75"/>
        <v>467</v>
      </c>
      <c r="L593" s="120">
        <f t="shared" si="82"/>
        <v>40945</v>
      </c>
      <c r="M593" s="118">
        <f t="shared" si="76"/>
        <v>105.76969313442851</v>
      </c>
      <c r="N593" s="68"/>
      <c r="O593" s="68"/>
      <c r="P593" s="68"/>
      <c r="Q593" s="68"/>
      <c r="R593" s="68">
        <f t="shared" si="78"/>
        <v>2.916690808162257</v>
      </c>
      <c r="S593" s="68">
        <f t="shared" si="79"/>
        <v>2.8739008486349453</v>
      </c>
      <c r="T593" s="68">
        <f t="shared" si="80"/>
        <v>2.8304103444212236</v>
      </c>
      <c r="U593" s="68">
        <f t="shared" si="81"/>
        <v>97.14869113321008</v>
      </c>
    </row>
    <row r="594" spans="11:21" ht="15">
      <c r="K594">
        <f t="shared" si="75"/>
        <v>468</v>
      </c>
      <c r="L594" s="120">
        <f t="shared" si="82"/>
        <v>40946</v>
      </c>
      <c r="M594" s="118">
        <f t="shared" si="76"/>
        <v>105.7821003122443</v>
      </c>
      <c r="N594" s="68"/>
      <c r="O594" s="68"/>
      <c r="P594" s="68"/>
      <c r="Q594" s="68"/>
      <c r="R594" s="68">
        <f t="shared" si="78"/>
        <v>2.9170329468261613</v>
      </c>
      <c r="S594" s="68">
        <f t="shared" si="79"/>
        <v>2.8742379678776824</v>
      </c>
      <c r="T594" s="68">
        <f t="shared" si="80"/>
        <v>2.8307423620662995</v>
      </c>
      <c r="U594" s="68">
        <f t="shared" si="81"/>
        <v>97.16008703547415</v>
      </c>
    </row>
    <row r="595" spans="11:21" ht="15">
      <c r="K595">
        <f t="shared" si="75"/>
        <v>469</v>
      </c>
      <c r="L595" s="120">
        <f t="shared" si="82"/>
        <v>40947</v>
      </c>
      <c r="M595" s="118">
        <f t="shared" si="76"/>
        <v>105.79450894546814</v>
      </c>
      <c r="N595" s="68"/>
      <c r="O595" s="68"/>
      <c r="P595" s="68"/>
      <c r="Q595" s="68"/>
      <c r="R595" s="68">
        <f t="shared" si="78"/>
        <v>2.9173751256242015</v>
      </c>
      <c r="S595" s="68">
        <f t="shared" si="79"/>
        <v>2.874575126665759</v>
      </c>
      <c r="T595" s="68">
        <f t="shared" si="80"/>
        <v>2.831074418658279</v>
      </c>
      <c r="U595" s="68">
        <f t="shared" si="81"/>
        <v>97.1714842745199</v>
      </c>
    </row>
    <row r="596" spans="11:21" ht="15">
      <c r="K596">
        <f t="shared" si="75"/>
        <v>470</v>
      </c>
      <c r="L596" s="120">
        <f t="shared" si="82"/>
        <v>40948</v>
      </c>
      <c r="M596" s="118">
        <f t="shared" si="76"/>
        <v>105.80691903427072</v>
      </c>
      <c r="N596" s="68"/>
      <c r="O596" s="68"/>
      <c r="P596" s="68"/>
      <c r="Q596" s="68"/>
      <c r="R596" s="68">
        <f t="shared" si="78"/>
        <v>2.917717344561085</v>
      </c>
      <c r="S596" s="68">
        <f t="shared" si="79"/>
        <v>2.8749123250038124</v>
      </c>
      <c r="T596" s="68">
        <f t="shared" si="80"/>
        <v>2.831406514201729</v>
      </c>
      <c r="U596" s="68">
        <f t="shared" si="81"/>
        <v>97.1828828505041</v>
      </c>
    </row>
    <row r="597" spans="11:21" ht="15">
      <c r="K597">
        <f t="shared" si="75"/>
        <v>471</v>
      </c>
      <c r="L597" s="120">
        <f t="shared" si="82"/>
        <v>40949</v>
      </c>
      <c r="M597" s="118">
        <f t="shared" si="76"/>
        <v>105.81933057882284</v>
      </c>
      <c r="N597" s="68"/>
      <c r="O597" s="68"/>
      <c r="P597" s="68"/>
      <c r="Q597" s="68"/>
      <c r="R597" s="68">
        <f t="shared" si="78"/>
        <v>2.918059603641522</v>
      </c>
      <c r="S597" s="68">
        <f t="shared" si="79"/>
        <v>2.875249562896484</v>
      </c>
      <c r="T597" s="68">
        <f t="shared" si="80"/>
        <v>2.8317386487012204</v>
      </c>
      <c r="U597" s="68">
        <f t="shared" si="81"/>
        <v>97.19428276358362</v>
      </c>
    </row>
    <row r="598" spans="11:21" ht="15">
      <c r="K598">
        <f t="shared" si="75"/>
        <v>472</v>
      </c>
      <c r="L598" s="120">
        <f t="shared" si="82"/>
        <v>40950</v>
      </c>
      <c r="M598" s="118">
        <f t="shared" si="76"/>
        <v>105.83174357929522</v>
      </c>
      <c r="N598" s="68"/>
      <c r="O598" s="68"/>
      <c r="P598" s="68"/>
      <c r="Q598" s="68"/>
      <c r="R598" s="68">
        <f t="shared" si="78"/>
        <v>2.9184019028702193</v>
      </c>
      <c r="S598" s="68">
        <f t="shared" si="79"/>
        <v>2.875586840348413</v>
      </c>
      <c r="T598" s="68">
        <f t="shared" si="80"/>
        <v>2.8320708221613216</v>
      </c>
      <c r="U598" s="68">
        <f t="shared" si="81"/>
        <v>97.20568401391526</v>
      </c>
    </row>
    <row r="599" spans="11:21" ht="15">
      <c r="K599">
        <f t="shared" si="75"/>
        <v>473</v>
      </c>
      <c r="L599" s="120">
        <f t="shared" si="82"/>
        <v>40951</v>
      </c>
      <c r="M599" s="118">
        <f t="shared" si="76"/>
        <v>105.84415803585864</v>
      </c>
      <c r="N599" s="68"/>
      <c r="O599" s="68"/>
      <c r="P599" s="68"/>
      <c r="Q599" s="68"/>
      <c r="R599" s="68">
        <f t="shared" si="78"/>
        <v>2.9187442422518877</v>
      </c>
      <c r="S599" s="68">
        <f t="shared" si="79"/>
        <v>2.8759241573642393</v>
      </c>
      <c r="T599" s="68">
        <f t="shared" si="80"/>
        <v>2.8324030345866036</v>
      </c>
      <c r="U599" s="68">
        <f t="shared" si="81"/>
        <v>97.21708660165591</v>
      </c>
    </row>
    <row r="600" spans="11:21" ht="15">
      <c r="K600">
        <f t="shared" si="75"/>
        <v>474</v>
      </c>
      <c r="L600" s="120">
        <f t="shared" si="82"/>
        <v>40952</v>
      </c>
      <c r="M600" s="118">
        <f t="shared" si="76"/>
        <v>105.85657394868394</v>
      </c>
      <c r="N600" s="68"/>
      <c r="O600" s="68"/>
      <c r="P600" s="68"/>
      <c r="Q600" s="68"/>
      <c r="R600" s="68">
        <f t="shared" si="78"/>
        <v>2.9190866217912372</v>
      </c>
      <c r="S600" s="68">
        <f t="shared" si="79"/>
        <v>2.8762615139486045</v>
      </c>
      <c r="T600" s="68">
        <f t="shared" si="80"/>
        <v>2.8327352859816366</v>
      </c>
      <c r="U600" s="68">
        <f t="shared" si="81"/>
        <v>97.22849052696246</v>
      </c>
    </row>
    <row r="601" spans="11:21" ht="15">
      <c r="K601">
        <f t="shared" si="75"/>
        <v>475</v>
      </c>
      <c r="L601" s="120">
        <f t="shared" si="82"/>
        <v>40953</v>
      </c>
      <c r="M601" s="118">
        <f t="shared" si="76"/>
        <v>105.86899131794192</v>
      </c>
      <c r="N601" s="68"/>
      <c r="O601" s="68"/>
      <c r="P601" s="68"/>
      <c r="Q601" s="68"/>
      <c r="R601" s="68">
        <f t="shared" si="78"/>
        <v>2.919429041492978</v>
      </c>
      <c r="S601" s="68">
        <f t="shared" si="79"/>
        <v>2.87659891010615</v>
      </c>
      <c r="T601" s="68">
        <f t="shared" si="80"/>
        <v>2.833067576350992</v>
      </c>
      <c r="U601" s="68">
        <f t="shared" si="81"/>
        <v>97.2398957899918</v>
      </c>
    </row>
    <row r="602" spans="11:21" ht="15">
      <c r="K602">
        <f t="shared" si="75"/>
        <v>476</v>
      </c>
      <c r="L602" s="120">
        <f t="shared" si="82"/>
        <v>40954</v>
      </c>
      <c r="M602" s="118">
        <f t="shared" si="76"/>
        <v>105.88141014380344</v>
      </c>
      <c r="N602" s="68"/>
      <c r="O602" s="68"/>
      <c r="P602" s="68"/>
      <c r="Q602" s="68"/>
      <c r="R602" s="68">
        <f t="shared" si="78"/>
        <v>2.9197715013618213</v>
      </c>
      <c r="S602" s="68">
        <f t="shared" si="79"/>
        <v>2.876936345841518</v>
      </c>
      <c r="T602" s="68">
        <f t="shared" si="80"/>
        <v>2.833399905699242</v>
      </c>
      <c r="U602" s="68">
        <f t="shared" si="81"/>
        <v>97.25130239090085</v>
      </c>
    </row>
    <row r="603" spans="11:21" ht="15">
      <c r="K603">
        <f t="shared" si="75"/>
        <v>477</v>
      </c>
      <c r="L603" s="120">
        <f t="shared" si="82"/>
        <v>40955</v>
      </c>
      <c r="M603" s="118">
        <f t="shared" si="76"/>
        <v>105.89383042643934</v>
      </c>
      <c r="N603" s="68"/>
      <c r="O603" s="68"/>
      <c r="P603" s="68"/>
      <c r="Q603" s="68"/>
      <c r="R603" s="68">
        <f t="shared" si="78"/>
        <v>2.920114001402479</v>
      </c>
      <c r="S603" s="68">
        <f t="shared" si="79"/>
        <v>2.87727382115935</v>
      </c>
      <c r="T603" s="68">
        <f t="shared" si="80"/>
        <v>2.8337322740309587</v>
      </c>
      <c r="U603" s="68">
        <f t="shared" si="81"/>
        <v>97.26271032984654</v>
      </c>
    </row>
    <row r="604" spans="11:21" ht="15">
      <c r="K604">
        <f t="shared" si="75"/>
        <v>478</v>
      </c>
      <c r="L604" s="120">
        <f t="shared" si="82"/>
        <v>40956</v>
      </c>
      <c r="M604" s="118">
        <f t="shared" si="76"/>
        <v>105.90625216602051</v>
      </c>
      <c r="N604" s="68"/>
      <c r="O604" s="68"/>
      <c r="P604" s="68"/>
      <c r="Q604" s="68"/>
      <c r="R604" s="68">
        <f t="shared" si="78"/>
        <v>2.9204565416196635</v>
      </c>
      <c r="S604" s="68">
        <f t="shared" si="79"/>
        <v>2.8776113360642914</v>
      </c>
      <c r="T604" s="68">
        <f t="shared" si="80"/>
        <v>2.8340646813507155</v>
      </c>
      <c r="U604" s="68">
        <f t="shared" si="81"/>
        <v>97.27411960698583</v>
      </c>
    </row>
    <row r="605" spans="11:21" ht="15">
      <c r="K605">
        <f t="shared" si="75"/>
        <v>479</v>
      </c>
      <c r="L605" s="120">
        <f t="shared" si="82"/>
        <v>40957</v>
      </c>
      <c r="M605" s="118">
        <f t="shared" si="76"/>
        <v>105.91867536271786</v>
      </c>
      <c r="N605" s="68"/>
      <c r="O605" s="68"/>
      <c r="P605" s="68"/>
      <c r="Q605" s="68"/>
      <c r="R605" s="68">
        <f t="shared" si="78"/>
        <v>2.9207991220180873</v>
      </c>
      <c r="S605" s="68">
        <f t="shared" si="79"/>
        <v>2.8779488905609836</v>
      </c>
      <c r="T605" s="68">
        <f t="shared" si="80"/>
        <v>2.834397127663085</v>
      </c>
      <c r="U605" s="68">
        <f t="shared" si="81"/>
        <v>97.28553022247571</v>
      </c>
    </row>
    <row r="606" spans="11:21" ht="15">
      <c r="K606">
        <f t="shared" si="75"/>
        <v>480</v>
      </c>
      <c r="L606" s="120">
        <f t="shared" si="82"/>
        <v>40958</v>
      </c>
      <c r="M606" s="118">
        <f t="shared" si="76"/>
        <v>105.93110001670235</v>
      </c>
      <c r="N606" s="68"/>
      <c r="O606" s="68"/>
      <c r="P606" s="68"/>
      <c r="Q606" s="68"/>
      <c r="R606" s="68">
        <f t="shared" si="78"/>
        <v>2.921141742602465</v>
      </c>
      <c r="S606" s="68">
        <f t="shared" si="79"/>
        <v>2.8782864846540726</v>
      </c>
      <c r="T606" s="68">
        <f t="shared" si="80"/>
        <v>2.834729612972642</v>
      </c>
      <c r="U606" s="68">
        <f t="shared" si="81"/>
        <v>97.29694217647317</v>
      </c>
    </row>
    <row r="607" spans="11:21" ht="15">
      <c r="K607">
        <f t="shared" si="75"/>
        <v>481</v>
      </c>
      <c r="L607" s="120">
        <f t="shared" si="82"/>
        <v>40959</v>
      </c>
      <c r="M607" s="118">
        <f t="shared" si="76"/>
        <v>105.94352612814487</v>
      </c>
      <c r="N607" s="68"/>
      <c r="O607" s="68"/>
      <c r="P607" s="68"/>
      <c r="Q607" s="68"/>
      <c r="R607" s="68">
        <f t="shared" si="78"/>
        <v>2.921484403377509</v>
      </c>
      <c r="S607" s="68">
        <f t="shared" si="79"/>
        <v>2.8786241183482018</v>
      </c>
      <c r="T607" s="68">
        <f t="shared" si="80"/>
        <v>2.83506213728396</v>
      </c>
      <c r="U607" s="68">
        <f t="shared" si="81"/>
        <v>97.3083554691352</v>
      </c>
    </row>
    <row r="608" spans="11:21" ht="15">
      <c r="K608">
        <f t="shared" si="75"/>
        <v>482</v>
      </c>
      <c r="L608" s="120">
        <f t="shared" si="82"/>
        <v>40960</v>
      </c>
      <c r="M608" s="118">
        <f t="shared" si="76"/>
        <v>105.95595369721642</v>
      </c>
      <c r="N608" s="68"/>
      <c r="O608" s="68"/>
      <c r="P608" s="68"/>
      <c r="Q608" s="68"/>
      <c r="R608" s="68">
        <f t="shared" si="78"/>
        <v>2.9218271043479347</v>
      </c>
      <c r="S608" s="68">
        <f t="shared" si="79"/>
        <v>2.8789617916480177</v>
      </c>
      <c r="T608" s="68">
        <f t="shared" si="80"/>
        <v>2.835394700601615</v>
      </c>
      <c r="U608" s="68">
        <f t="shared" si="81"/>
        <v>97.31977010061885</v>
      </c>
    </row>
    <row r="609" spans="11:21" ht="15">
      <c r="K609">
        <f t="shared" si="75"/>
        <v>483</v>
      </c>
      <c r="L609" s="120">
        <f t="shared" si="82"/>
        <v>40961</v>
      </c>
      <c r="M609" s="118">
        <f t="shared" si="76"/>
        <v>105.968382724088</v>
      </c>
      <c r="N609" s="68"/>
      <c r="O609" s="68"/>
      <c r="P609" s="68"/>
      <c r="Q609" s="68"/>
      <c r="R609" s="68">
        <f t="shared" si="78"/>
        <v>2.9221698455184573</v>
      </c>
      <c r="S609" s="68">
        <f t="shared" si="79"/>
        <v>2.879299504558165</v>
      </c>
      <c r="T609" s="68">
        <f t="shared" si="80"/>
        <v>2.835727302930182</v>
      </c>
      <c r="U609" s="68">
        <f t="shared" si="81"/>
        <v>97.33118607108119</v>
      </c>
    </row>
    <row r="610" spans="11:21" ht="15">
      <c r="K610">
        <f aca="true" t="shared" si="83" ref="K610:K673">K609+1</f>
        <v>484</v>
      </c>
      <c r="L610" s="120">
        <f t="shared" si="82"/>
        <v>40962</v>
      </c>
      <c r="M610" s="118">
        <f aca="true" t="shared" si="84" ref="M610:M673">SUM(N610:U610)</f>
        <v>105.98081320893056</v>
      </c>
      <c r="N610" s="68"/>
      <c r="O610" s="68"/>
      <c r="P610" s="68"/>
      <c r="Q610" s="68"/>
      <c r="R610" s="68">
        <f t="shared" si="78"/>
        <v>2.9225126268937918</v>
      </c>
      <c r="S610" s="68">
        <f t="shared" si="79"/>
        <v>2.8796372570832918</v>
      </c>
      <c r="T610" s="68">
        <f t="shared" si="80"/>
        <v>2.836059944274238</v>
      </c>
      <c r="U610" s="68">
        <f t="shared" si="81"/>
        <v>97.34260338067924</v>
      </c>
    </row>
    <row r="611" spans="11:21" ht="15">
      <c r="K611">
        <f t="shared" si="83"/>
        <v>485</v>
      </c>
      <c r="L611" s="120">
        <f t="shared" si="82"/>
        <v>40963</v>
      </c>
      <c r="M611" s="118">
        <f t="shared" si="84"/>
        <v>105.99324515191516</v>
      </c>
      <c r="N611" s="68"/>
      <c r="O611" s="68"/>
      <c r="P611" s="68"/>
      <c r="Q611" s="68"/>
      <c r="R611" s="68">
        <f t="shared" si="78"/>
        <v>2.9228554484786544</v>
      </c>
      <c r="S611" s="68">
        <f t="shared" si="79"/>
        <v>2.879975049228044</v>
      </c>
      <c r="T611" s="68">
        <f t="shared" si="80"/>
        <v>2.836392624638358</v>
      </c>
      <c r="U611" s="68">
        <f t="shared" si="81"/>
        <v>97.3540220295701</v>
      </c>
    </row>
    <row r="612" spans="11:21" ht="15">
      <c r="K612">
        <f t="shared" si="83"/>
        <v>486</v>
      </c>
      <c r="L612" s="120">
        <f t="shared" si="82"/>
        <v>40964</v>
      </c>
      <c r="M612" s="118">
        <f t="shared" si="84"/>
        <v>106.00567855321286</v>
      </c>
      <c r="N612" s="68"/>
      <c r="O612" s="68"/>
      <c r="P612" s="68"/>
      <c r="Q612" s="68"/>
      <c r="R612" s="68">
        <f t="shared" si="78"/>
        <v>2.9231983102777623</v>
      </c>
      <c r="S612" s="68">
        <f t="shared" si="79"/>
        <v>2.880312880997069</v>
      </c>
      <c r="T612" s="68">
        <f t="shared" si="80"/>
        <v>2.8367253440271214</v>
      </c>
      <c r="U612" s="68">
        <f t="shared" si="81"/>
        <v>97.36544201791091</v>
      </c>
    </row>
    <row r="613" spans="11:21" ht="15">
      <c r="K613">
        <f t="shared" si="83"/>
        <v>487</v>
      </c>
      <c r="L613" s="120">
        <f t="shared" si="82"/>
        <v>40965</v>
      </c>
      <c r="M613" s="118">
        <f t="shared" si="84"/>
        <v>106.0181134129947</v>
      </c>
      <c r="N613" s="68"/>
      <c r="O613" s="68"/>
      <c r="P613" s="68"/>
      <c r="Q613" s="68"/>
      <c r="R613" s="68">
        <f t="shared" si="78"/>
        <v>2.9235412122958326</v>
      </c>
      <c r="S613" s="68">
        <f t="shared" si="79"/>
        <v>2.8806507523950153</v>
      </c>
      <c r="T613" s="68">
        <f t="shared" si="80"/>
        <v>2.8370581024451043</v>
      </c>
      <c r="U613" s="68">
        <f t="shared" si="81"/>
        <v>97.37686334585874</v>
      </c>
    </row>
    <row r="614" spans="11:21" ht="15">
      <c r="K614">
        <f t="shared" si="83"/>
        <v>488</v>
      </c>
      <c r="L614" s="120">
        <f t="shared" si="82"/>
        <v>40966</v>
      </c>
      <c r="M614" s="118">
        <f t="shared" si="84"/>
        <v>106.03054973143176</v>
      </c>
      <c r="N614" s="68"/>
      <c r="O614" s="68"/>
      <c r="P614" s="68"/>
      <c r="Q614" s="68"/>
      <c r="R614" s="68">
        <f t="shared" si="78"/>
        <v>2.9238841545375833</v>
      </c>
      <c r="S614" s="68">
        <f t="shared" si="79"/>
        <v>2.8809886634265314</v>
      </c>
      <c r="T614" s="68">
        <f t="shared" si="80"/>
        <v>2.837390899896885</v>
      </c>
      <c r="U614" s="68">
        <f t="shared" si="81"/>
        <v>97.38828601357076</v>
      </c>
    </row>
    <row r="615" spans="11:21" ht="15">
      <c r="K615">
        <f t="shared" si="83"/>
        <v>489</v>
      </c>
      <c r="L615" s="120">
        <f t="shared" si="82"/>
        <v>40967</v>
      </c>
      <c r="M615" s="118">
        <f t="shared" si="84"/>
        <v>106.04298750869518</v>
      </c>
      <c r="N615" s="68"/>
      <c r="O615" s="68"/>
      <c r="P615" s="68"/>
      <c r="Q615" s="68"/>
      <c r="R615" s="68">
        <f t="shared" si="78"/>
        <v>2.924227137007732</v>
      </c>
      <c r="S615" s="68">
        <f t="shared" si="79"/>
        <v>2.8813266140962663</v>
      </c>
      <c r="T615" s="68">
        <f t="shared" si="80"/>
        <v>2.8377237363870433</v>
      </c>
      <c r="U615" s="68">
        <f t="shared" si="81"/>
        <v>97.39971002120413</v>
      </c>
    </row>
    <row r="616" spans="11:21" ht="15">
      <c r="K616">
        <f t="shared" si="83"/>
        <v>490</v>
      </c>
      <c r="L616" s="120">
        <f t="shared" si="82"/>
        <v>40968</v>
      </c>
      <c r="M616" s="118">
        <f t="shared" si="84"/>
        <v>106.05542674495605</v>
      </c>
      <c r="N616" s="68"/>
      <c r="O616" s="68"/>
      <c r="P616" s="68"/>
      <c r="Q616" s="68"/>
      <c r="R616" s="68">
        <f t="shared" si="78"/>
        <v>2.9245701597109988</v>
      </c>
      <c r="S616" s="68">
        <f t="shared" si="79"/>
        <v>2.8816646044088703</v>
      </c>
      <c r="T616" s="68">
        <f t="shared" si="80"/>
        <v>2.838056611920158</v>
      </c>
      <c r="U616" s="68">
        <f t="shared" si="81"/>
        <v>97.41113536891602</v>
      </c>
    </row>
    <row r="617" spans="11:21" ht="15">
      <c r="K617">
        <f t="shared" si="83"/>
        <v>491</v>
      </c>
      <c r="L617" s="120">
        <f t="shared" si="82"/>
        <v>40969</v>
      </c>
      <c r="M617" s="118">
        <f t="shared" si="84"/>
        <v>106.06786744038553</v>
      </c>
      <c r="N617" s="68"/>
      <c r="O617" s="68"/>
      <c r="P617" s="68"/>
      <c r="Q617" s="68"/>
      <c r="R617" s="68">
        <f t="shared" si="78"/>
        <v>2.9249132226521026</v>
      </c>
      <c r="S617" s="68">
        <f t="shared" si="79"/>
        <v>2.882002634368993</v>
      </c>
      <c r="T617" s="68">
        <f t="shared" si="80"/>
        <v>2.838389526500808</v>
      </c>
      <c r="U617" s="68">
        <f t="shared" si="81"/>
        <v>97.42256205686363</v>
      </c>
    </row>
    <row r="618" spans="11:21" ht="15">
      <c r="K618">
        <f t="shared" si="83"/>
        <v>492</v>
      </c>
      <c r="L618" s="120">
        <f t="shared" si="82"/>
        <v>40970</v>
      </c>
      <c r="M618" s="118">
        <f t="shared" si="84"/>
        <v>106.08030959515479</v>
      </c>
      <c r="N618" s="68"/>
      <c r="O618" s="68"/>
      <c r="P618" s="68"/>
      <c r="Q618" s="68"/>
      <c r="R618" s="68">
        <f t="shared" si="78"/>
        <v>2.9252563258357633</v>
      </c>
      <c r="S618" s="68">
        <f t="shared" si="79"/>
        <v>2.882340703981285</v>
      </c>
      <c r="T618" s="68">
        <f t="shared" si="80"/>
        <v>2.8387224801335758</v>
      </c>
      <c r="U618" s="68">
        <f t="shared" si="81"/>
        <v>97.43399008520416</v>
      </c>
    </row>
    <row r="619" spans="11:21" ht="15">
      <c r="K619">
        <f t="shared" si="83"/>
        <v>493</v>
      </c>
      <c r="L619" s="120">
        <f t="shared" si="82"/>
        <v>40971</v>
      </c>
      <c r="M619" s="118">
        <f t="shared" si="84"/>
        <v>106.09275320943502</v>
      </c>
      <c r="N619" s="68"/>
      <c r="O619" s="68"/>
      <c r="P619" s="68"/>
      <c r="Q619" s="68"/>
      <c r="R619" s="68">
        <f t="shared" si="78"/>
        <v>2.925599469266701</v>
      </c>
      <c r="S619" s="68">
        <f t="shared" si="79"/>
        <v>2.882678813250398</v>
      </c>
      <c r="T619" s="68">
        <f t="shared" si="80"/>
        <v>2.839055472823041</v>
      </c>
      <c r="U619" s="68">
        <f t="shared" si="81"/>
        <v>97.44541945409487</v>
      </c>
    </row>
    <row r="620" spans="11:21" ht="15">
      <c r="K620">
        <f t="shared" si="83"/>
        <v>494</v>
      </c>
      <c r="L620" s="120">
        <f t="shared" si="82"/>
        <v>40972</v>
      </c>
      <c r="M620" s="118">
        <f t="shared" si="84"/>
        <v>106.10519828339741</v>
      </c>
      <c r="N620" s="68"/>
      <c r="O620" s="68"/>
      <c r="P620" s="68"/>
      <c r="Q620" s="68"/>
      <c r="R620" s="68">
        <f t="shared" si="78"/>
        <v>2.925942652949639</v>
      </c>
      <c r="S620" s="68">
        <f t="shared" si="79"/>
        <v>2.8830169621809847</v>
      </c>
      <c r="T620" s="68">
        <f t="shared" si="80"/>
        <v>2.839388504573785</v>
      </c>
      <c r="U620" s="68">
        <f t="shared" si="81"/>
        <v>97.456850163693</v>
      </c>
    </row>
    <row r="621" spans="11:21" ht="15">
      <c r="K621">
        <f t="shared" si="83"/>
        <v>495</v>
      </c>
      <c r="L621" s="120">
        <f t="shared" si="82"/>
        <v>40973</v>
      </c>
      <c r="M621" s="118">
        <f t="shared" si="84"/>
        <v>106.11764481721319</v>
      </c>
      <c r="N621" s="68"/>
      <c r="O621" s="68"/>
      <c r="P621" s="68"/>
      <c r="Q621" s="68"/>
      <c r="R621" s="68">
        <f t="shared" si="78"/>
        <v>2.9262858768892963</v>
      </c>
      <c r="S621" s="68">
        <f t="shared" si="79"/>
        <v>2.8833551507776964</v>
      </c>
      <c r="T621" s="68">
        <f t="shared" si="80"/>
        <v>2.839721575390391</v>
      </c>
      <c r="U621" s="68">
        <f t="shared" si="81"/>
        <v>97.4682822141558</v>
      </c>
    </row>
    <row r="622" spans="11:21" ht="15">
      <c r="K622">
        <f t="shared" si="83"/>
        <v>496</v>
      </c>
      <c r="L622" s="120">
        <f t="shared" si="82"/>
        <v>40974</v>
      </c>
      <c r="M622" s="118">
        <f t="shared" si="84"/>
        <v>106.13009281105361</v>
      </c>
      <c r="N622" s="68"/>
      <c r="O622" s="68"/>
      <c r="P622" s="68"/>
      <c r="Q622" s="68"/>
      <c r="R622" s="68">
        <f t="shared" si="78"/>
        <v>2.926629141090397</v>
      </c>
      <c r="S622" s="68">
        <f t="shared" si="79"/>
        <v>2.8836933790451864</v>
      </c>
      <c r="T622" s="68">
        <f t="shared" si="80"/>
        <v>2.84005468527744</v>
      </c>
      <c r="U622" s="68">
        <f t="shared" si="81"/>
        <v>97.47971560564059</v>
      </c>
    </row>
    <row r="623" spans="11:21" ht="15">
      <c r="K623">
        <f t="shared" si="83"/>
        <v>497</v>
      </c>
      <c r="L623" s="120">
        <f t="shared" si="82"/>
        <v>40975</v>
      </c>
      <c r="M623" s="118">
        <f t="shared" si="84"/>
        <v>106.14254226508996</v>
      </c>
      <c r="N623" s="68"/>
      <c r="O623" s="68"/>
      <c r="P623" s="68"/>
      <c r="Q623" s="68"/>
      <c r="R623" s="68">
        <f t="shared" si="78"/>
        <v>2.9269724455576633</v>
      </c>
      <c r="S623" s="68">
        <f t="shared" si="79"/>
        <v>2.884031646988108</v>
      </c>
      <c r="T623" s="68">
        <f t="shared" si="80"/>
        <v>2.8403878342395164</v>
      </c>
      <c r="U623" s="68">
        <f t="shared" si="81"/>
        <v>97.49115033830468</v>
      </c>
    </row>
    <row r="624" spans="11:21" ht="15">
      <c r="K624">
        <f t="shared" si="83"/>
        <v>498</v>
      </c>
      <c r="L624" s="120">
        <f t="shared" si="82"/>
        <v>40976</v>
      </c>
      <c r="M624" s="118">
        <f t="shared" si="84"/>
        <v>106.1549931794935</v>
      </c>
      <c r="N624" s="68"/>
      <c r="O624" s="68"/>
      <c r="P624" s="68"/>
      <c r="Q624" s="68"/>
      <c r="R624" s="68">
        <f t="shared" si="78"/>
        <v>2.9273157902958187</v>
      </c>
      <c r="S624" s="68">
        <f t="shared" si="79"/>
        <v>2.8843699546111163</v>
      </c>
      <c r="T624" s="68">
        <f t="shared" si="80"/>
        <v>2.840721022281203</v>
      </c>
      <c r="U624" s="68">
        <f t="shared" si="81"/>
        <v>97.50258641230536</v>
      </c>
    </row>
    <row r="625" spans="11:21" ht="15">
      <c r="K625">
        <f t="shared" si="83"/>
        <v>499</v>
      </c>
      <c r="L625" s="120">
        <f t="shared" si="82"/>
        <v>40977</v>
      </c>
      <c r="M625" s="118">
        <f t="shared" si="84"/>
        <v>106.16744555443552</v>
      </c>
      <c r="N625" s="68"/>
      <c r="O625" s="68"/>
      <c r="P625" s="68"/>
      <c r="Q625" s="68"/>
      <c r="R625" s="68">
        <f t="shared" si="78"/>
        <v>2.9276591753095866</v>
      </c>
      <c r="S625" s="68">
        <f t="shared" si="79"/>
        <v>2.8847083019188644</v>
      </c>
      <c r="T625" s="68">
        <f t="shared" si="80"/>
        <v>2.8410542494070836</v>
      </c>
      <c r="U625" s="68">
        <f t="shared" si="81"/>
        <v>97.51402382779999</v>
      </c>
    </row>
    <row r="626" spans="11:21" ht="15">
      <c r="K626">
        <f t="shared" si="83"/>
        <v>500</v>
      </c>
      <c r="L626" s="120">
        <f t="shared" si="82"/>
        <v>40978</v>
      </c>
      <c r="M626" s="118">
        <f t="shared" si="84"/>
        <v>106.17989939008737</v>
      </c>
      <c r="N626" s="68"/>
      <c r="O626" s="68"/>
      <c r="P626" s="68"/>
      <c r="Q626" s="68"/>
      <c r="R626" s="68">
        <f t="shared" si="78"/>
        <v>2.928002600603692</v>
      </c>
      <c r="S626" s="68">
        <f t="shared" si="79"/>
        <v>2.885046688916009</v>
      </c>
      <c r="T626" s="68">
        <f t="shared" si="80"/>
        <v>2.8413875156217445</v>
      </c>
      <c r="U626" s="68">
        <f t="shared" si="81"/>
        <v>97.52546258494593</v>
      </c>
    </row>
    <row r="627" spans="11:21" ht="15">
      <c r="K627">
        <f t="shared" si="83"/>
        <v>501</v>
      </c>
      <c r="L627" s="120">
        <f t="shared" si="82"/>
        <v>40979</v>
      </c>
      <c r="M627" s="118">
        <f t="shared" si="84"/>
        <v>106.1923546866204</v>
      </c>
      <c r="N627" s="68"/>
      <c r="O627" s="68"/>
      <c r="P627" s="68"/>
      <c r="Q627" s="68"/>
      <c r="R627" s="68">
        <f t="shared" si="78"/>
        <v>2.9283460661828595</v>
      </c>
      <c r="S627" s="68">
        <f t="shared" si="79"/>
        <v>2.885385115607204</v>
      </c>
      <c r="T627" s="68">
        <f t="shared" si="80"/>
        <v>2.8417208209297695</v>
      </c>
      <c r="U627" s="68">
        <f t="shared" si="81"/>
        <v>97.53690268390056</v>
      </c>
    </row>
    <row r="628" spans="11:21" ht="15">
      <c r="K628">
        <f t="shared" si="83"/>
        <v>502</v>
      </c>
      <c r="L628" s="120">
        <f t="shared" si="82"/>
        <v>40980</v>
      </c>
      <c r="M628" s="118">
        <f t="shared" si="84"/>
        <v>106.20481144420599</v>
      </c>
      <c r="N628" s="68"/>
      <c r="O628" s="68"/>
      <c r="P628" s="68"/>
      <c r="Q628" s="68"/>
      <c r="R628" s="68">
        <f t="shared" si="78"/>
        <v>2.928689572051816</v>
      </c>
      <c r="S628" s="68">
        <f t="shared" si="79"/>
        <v>2.8857235819971083</v>
      </c>
      <c r="T628" s="68">
        <f t="shared" si="80"/>
        <v>2.842054165335746</v>
      </c>
      <c r="U628" s="68">
        <f t="shared" si="81"/>
        <v>97.54834412482131</v>
      </c>
    </row>
    <row r="629" spans="11:21" ht="15">
      <c r="K629">
        <f t="shared" si="83"/>
        <v>503</v>
      </c>
      <c r="L629" s="120">
        <f t="shared" si="82"/>
        <v>40981</v>
      </c>
      <c r="M629" s="118">
        <f t="shared" si="84"/>
        <v>106.21726966301549</v>
      </c>
      <c r="N629" s="68"/>
      <c r="O629" s="68"/>
      <c r="P629" s="68"/>
      <c r="Q629" s="68"/>
      <c r="R629" s="68">
        <f t="shared" si="78"/>
        <v>2.9290331182152856</v>
      </c>
      <c r="S629" s="68">
        <f t="shared" si="79"/>
        <v>2.886062088090376</v>
      </c>
      <c r="T629" s="68">
        <f t="shared" si="80"/>
        <v>2.8423875488442585</v>
      </c>
      <c r="U629" s="68">
        <f t="shared" si="81"/>
        <v>97.55978690786556</v>
      </c>
    </row>
    <row r="630" spans="11:21" ht="15">
      <c r="K630">
        <f t="shared" si="83"/>
        <v>504</v>
      </c>
      <c r="L630" s="120">
        <f t="shared" si="82"/>
        <v>40982</v>
      </c>
      <c r="M630" s="118">
        <f t="shared" si="84"/>
        <v>106.22972934322031</v>
      </c>
      <c r="N630" s="68"/>
      <c r="O630" s="68"/>
      <c r="P630" s="68"/>
      <c r="Q630" s="68"/>
      <c r="R630" s="68">
        <f t="shared" si="78"/>
        <v>2.9293767046779964</v>
      </c>
      <c r="S630" s="68">
        <f t="shared" si="79"/>
        <v>2.886400633891666</v>
      </c>
      <c r="T630" s="68">
        <f t="shared" si="80"/>
        <v>2.8427209714598947</v>
      </c>
      <c r="U630" s="68">
        <f t="shared" si="81"/>
        <v>97.57123103319076</v>
      </c>
    </row>
    <row r="631" spans="11:21" ht="15">
      <c r="K631">
        <f t="shared" si="83"/>
        <v>505</v>
      </c>
      <c r="L631" s="120">
        <f t="shared" si="82"/>
        <v>40983</v>
      </c>
      <c r="M631" s="118">
        <f t="shared" si="84"/>
        <v>106.24219048499188</v>
      </c>
      <c r="N631" s="68"/>
      <c r="O631" s="68"/>
      <c r="P631" s="68"/>
      <c r="Q631" s="68"/>
      <c r="R631" s="68">
        <f t="shared" si="78"/>
        <v>2.9297203314446754</v>
      </c>
      <c r="S631" s="68">
        <f t="shared" si="79"/>
        <v>2.886739219405636</v>
      </c>
      <c r="T631" s="68">
        <f t="shared" si="80"/>
        <v>2.843054433187242</v>
      </c>
      <c r="U631" s="68">
        <f t="shared" si="81"/>
        <v>97.58267650095434</v>
      </c>
    </row>
    <row r="632" spans="11:21" ht="15">
      <c r="K632">
        <f t="shared" si="83"/>
        <v>506</v>
      </c>
      <c r="L632" s="120">
        <f t="shared" si="82"/>
        <v>40984</v>
      </c>
      <c r="M632" s="118">
        <f t="shared" si="84"/>
        <v>106.2546530885017</v>
      </c>
      <c r="N632" s="68"/>
      <c r="O632" s="68"/>
      <c r="P632" s="68"/>
      <c r="Q632" s="68"/>
      <c r="R632" s="68">
        <f t="shared" si="78"/>
        <v>2.9300639985200503</v>
      </c>
      <c r="S632" s="68">
        <f t="shared" si="79"/>
        <v>2.8870778446369436</v>
      </c>
      <c r="T632" s="68">
        <f t="shared" si="80"/>
        <v>2.843387934030889</v>
      </c>
      <c r="U632" s="68">
        <f t="shared" si="81"/>
        <v>97.59412331131381</v>
      </c>
    </row>
    <row r="633" spans="11:21" ht="15">
      <c r="K633">
        <f t="shared" si="83"/>
        <v>507</v>
      </c>
      <c r="L633" s="120">
        <f t="shared" si="82"/>
        <v>40985</v>
      </c>
      <c r="M633" s="118">
        <f t="shared" si="84"/>
        <v>106.26711715392118</v>
      </c>
      <c r="N633" s="68"/>
      <c r="O633" s="68"/>
      <c r="P633" s="68"/>
      <c r="Q633" s="68"/>
      <c r="R633" s="68">
        <f t="shared" si="78"/>
        <v>2.93040770590885</v>
      </c>
      <c r="S633" s="68">
        <f t="shared" si="79"/>
        <v>2.8874165095902486</v>
      </c>
      <c r="T633" s="68">
        <f t="shared" si="80"/>
        <v>2.843721473995423</v>
      </c>
      <c r="U633" s="68">
        <f t="shared" si="81"/>
        <v>97.60557146442666</v>
      </c>
    </row>
    <row r="634" spans="11:21" ht="15">
      <c r="K634">
        <f t="shared" si="83"/>
        <v>508</v>
      </c>
      <c r="L634" s="120">
        <f t="shared" si="82"/>
        <v>40986</v>
      </c>
      <c r="M634" s="118">
        <f t="shared" si="84"/>
        <v>106.2795826814218</v>
      </c>
      <c r="N634" s="68"/>
      <c r="O634" s="68"/>
      <c r="P634" s="68"/>
      <c r="Q634" s="68"/>
      <c r="R634" s="68">
        <f t="shared" si="78"/>
        <v>2.9307514536158017</v>
      </c>
      <c r="S634" s="68">
        <f t="shared" si="79"/>
        <v>2.8877552142702108</v>
      </c>
      <c r="T634" s="68">
        <f t="shared" si="80"/>
        <v>2.8440550530854334</v>
      </c>
      <c r="U634" s="68">
        <f t="shared" si="81"/>
        <v>97.61702096045036</v>
      </c>
    </row>
    <row r="635" spans="11:21" ht="15">
      <c r="K635">
        <f t="shared" si="83"/>
        <v>509</v>
      </c>
      <c r="L635" s="120">
        <f t="shared" si="82"/>
        <v>40987</v>
      </c>
      <c r="M635" s="118">
        <f t="shared" si="84"/>
        <v>106.29204967117512</v>
      </c>
      <c r="N635" s="68"/>
      <c r="O635" s="68"/>
      <c r="P635" s="68"/>
      <c r="Q635" s="68"/>
      <c r="R635" s="68">
        <f t="shared" si="78"/>
        <v>2.931095241645637</v>
      </c>
      <c r="S635" s="68">
        <f t="shared" si="79"/>
        <v>2.8880939586814893</v>
      </c>
      <c r="T635" s="68">
        <f t="shared" si="80"/>
        <v>2.84438867130551</v>
      </c>
      <c r="U635" s="68">
        <f t="shared" si="81"/>
        <v>97.62847179954248</v>
      </c>
    </row>
    <row r="636" spans="11:21" ht="15">
      <c r="K636">
        <f t="shared" si="83"/>
        <v>510</v>
      </c>
      <c r="L636" s="120">
        <f t="shared" si="82"/>
        <v>40988</v>
      </c>
      <c r="M636" s="118">
        <f t="shared" si="84"/>
        <v>106.30451812335264</v>
      </c>
      <c r="N636" s="68"/>
      <c r="O636" s="68"/>
      <c r="P636" s="68"/>
      <c r="Q636" s="68"/>
      <c r="R636" s="68">
        <f t="shared" si="78"/>
        <v>2.9314390700030843</v>
      </c>
      <c r="S636" s="68">
        <f t="shared" si="79"/>
        <v>2.888432742828746</v>
      </c>
      <c r="T636" s="68">
        <f t="shared" si="80"/>
        <v>2.844722328660243</v>
      </c>
      <c r="U636" s="68">
        <f t="shared" si="81"/>
        <v>97.63992398186056</v>
      </c>
    </row>
    <row r="637" spans="11:21" ht="15">
      <c r="K637">
        <f t="shared" si="83"/>
        <v>511</v>
      </c>
      <c r="L637" s="120">
        <f t="shared" si="82"/>
        <v>40989</v>
      </c>
      <c r="M637" s="118">
        <f t="shared" si="84"/>
        <v>106.3169880381259</v>
      </c>
      <c r="N637" s="68"/>
      <c r="O637" s="68"/>
      <c r="P637" s="68"/>
      <c r="Q637" s="68"/>
      <c r="R637" s="68">
        <f t="shared" si="78"/>
        <v>2.9317829386928755</v>
      </c>
      <c r="S637" s="68">
        <f t="shared" si="79"/>
        <v>2.8887715667166405</v>
      </c>
      <c r="T637" s="68">
        <f t="shared" si="80"/>
        <v>2.8450560251542227</v>
      </c>
      <c r="U637" s="68">
        <f t="shared" si="81"/>
        <v>97.65137750756216</v>
      </c>
    </row>
    <row r="638" spans="11:21" ht="15">
      <c r="K638">
        <f t="shared" si="83"/>
        <v>512</v>
      </c>
      <c r="L638" s="120">
        <f t="shared" si="82"/>
        <v>40990</v>
      </c>
      <c r="M638" s="118">
        <f t="shared" si="84"/>
        <v>106.32945941566646</v>
      </c>
      <c r="N638" s="68"/>
      <c r="O638" s="68"/>
      <c r="P638" s="68"/>
      <c r="Q638" s="68"/>
      <c r="R638" s="68">
        <f aca="true" t="shared" si="85" ref="R638:R687">$K$51/(1+$L$123/100)^(($J$51-K638)/252)</f>
        <v>2.932126847719741</v>
      </c>
      <c r="S638" s="68">
        <f aca="true" t="shared" si="86" ref="S638:S687">$K$52/(1+$L$123/100)^(($J$52-K638)/252)</f>
        <v>2.8891104303498363</v>
      </c>
      <c r="T638" s="68">
        <f aca="true" t="shared" si="87" ref="T638:T687">$K$53/(1+$L$123/100)^(($J$53-K638)/252)</f>
        <v>2.84538976079204</v>
      </c>
      <c r="U638" s="68">
        <f aca="true" t="shared" si="88" ref="U638:U687">$K$54/(1+$L$123/100)^(($J$54-K638)/252)</f>
        <v>97.66283237680484</v>
      </c>
    </row>
    <row r="639" spans="11:21" ht="15">
      <c r="K639">
        <f t="shared" si="83"/>
        <v>513</v>
      </c>
      <c r="L639" s="120">
        <f t="shared" si="82"/>
        <v>40991</v>
      </c>
      <c r="M639" s="118">
        <f t="shared" si="84"/>
        <v>106.34193225614592</v>
      </c>
      <c r="N639" s="68"/>
      <c r="O639" s="68"/>
      <c r="P639" s="68"/>
      <c r="Q639" s="68"/>
      <c r="R639" s="68">
        <f t="shared" si="85"/>
        <v>2.9324707970884116</v>
      </c>
      <c r="S639" s="68">
        <f t="shared" si="86"/>
        <v>2.889449333732994</v>
      </c>
      <c r="T639" s="68">
        <f t="shared" si="87"/>
        <v>2.845723535578288</v>
      </c>
      <c r="U639" s="68">
        <f t="shared" si="88"/>
        <v>97.67428858974623</v>
      </c>
    </row>
    <row r="640" spans="11:21" ht="15">
      <c r="K640">
        <f t="shared" si="83"/>
        <v>514</v>
      </c>
      <c r="L640" s="120">
        <f aca="true" t="shared" si="89" ref="L640:L687">L639+1</f>
        <v>40992</v>
      </c>
      <c r="M640" s="118">
        <f t="shared" si="84"/>
        <v>106.3544065597359</v>
      </c>
      <c r="N640" s="68"/>
      <c r="O640" s="68"/>
      <c r="P640" s="68"/>
      <c r="Q640" s="68"/>
      <c r="R640" s="68">
        <f t="shared" si="85"/>
        <v>2.932814786803622</v>
      </c>
      <c r="S640" s="68">
        <f t="shared" si="86"/>
        <v>2.8897882768707777</v>
      </c>
      <c r="T640" s="68">
        <f t="shared" si="87"/>
        <v>2.8460573495175576</v>
      </c>
      <c r="U640" s="68">
        <f t="shared" si="88"/>
        <v>97.68574614654395</v>
      </c>
    </row>
    <row r="641" spans="11:21" ht="15">
      <c r="K641">
        <f t="shared" si="83"/>
        <v>515</v>
      </c>
      <c r="L641" s="120">
        <f t="shared" si="89"/>
        <v>40993</v>
      </c>
      <c r="M641" s="118">
        <f t="shared" si="84"/>
        <v>106.36688232660802</v>
      </c>
      <c r="N641" s="68"/>
      <c r="O641" s="68"/>
      <c r="P641" s="68"/>
      <c r="Q641" s="68"/>
      <c r="R641" s="68">
        <f t="shared" si="85"/>
        <v>2.9331588168701024</v>
      </c>
      <c r="S641" s="68">
        <f t="shared" si="86"/>
        <v>2.89012725976785</v>
      </c>
      <c r="T641" s="68">
        <f t="shared" si="87"/>
        <v>2.846391202614442</v>
      </c>
      <c r="U641" s="68">
        <f t="shared" si="88"/>
        <v>97.69720504735562</v>
      </c>
    </row>
    <row r="642" spans="11:21" ht="15">
      <c r="K642">
        <f t="shared" si="83"/>
        <v>516</v>
      </c>
      <c r="L642" s="120">
        <f t="shared" si="89"/>
        <v>40994</v>
      </c>
      <c r="M642" s="118">
        <f t="shared" si="84"/>
        <v>106.37935955693393</v>
      </c>
      <c r="N642" s="68"/>
      <c r="O642" s="68"/>
      <c r="P642" s="68"/>
      <c r="Q642" s="68"/>
      <c r="R642" s="68">
        <f t="shared" si="85"/>
        <v>2.9335028872925877</v>
      </c>
      <c r="S642" s="68">
        <f t="shared" si="86"/>
        <v>2.890466282428875</v>
      </c>
      <c r="T642" s="68">
        <f t="shared" si="87"/>
        <v>2.8467250948735345</v>
      </c>
      <c r="U642" s="68">
        <f t="shared" si="88"/>
        <v>97.70866529233894</v>
      </c>
    </row>
    <row r="643" spans="11:21" ht="15">
      <c r="K643">
        <f t="shared" si="83"/>
        <v>517</v>
      </c>
      <c r="L643" s="120">
        <f t="shared" si="89"/>
        <v>40995</v>
      </c>
      <c r="M643" s="118">
        <f t="shared" si="84"/>
        <v>106.3918382508853</v>
      </c>
      <c r="N643" s="68"/>
      <c r="O643" s="68"/>
      <c r="P643" s="68"/>
      <c r="Q643" s="68"/>
      <c r="R643" s="68">
        <f t="shared" si="85"/>
        <v>2.933846998075811</v>
      </c>
      <c r="S643" s="68">
        <f t="shared" si="86"/>
        <v>2.890805344858517</v>
      </c>
      <c r="T643" s="68">
        <f t="shared" si="87"/>
        <v>2.8470590262994286</v>
      </c>
      <c r="U643" s="68">
        <f t="shared" si="88"/>
        <v>97.72012688165154</v>
      </c>
    </row>
    <row r="644" spans="11:21" ht="15">
      <c r="K644">
        <f t="shared" si="83"/>
        <v>518</v>
      </c>
      <c r="L644" s="120">
        <f t="shared" si="89"/>
        <v>40996</v>
      </c>
      <c r="M644" s="118">
        <f t="shared" si="84"/>
        <v>106.40431840863381</v>
      </c>
      <c r="N644" s="68"/>
      <c r="O644" s="68"/>
      <c r="P644" s="68"/>
      <c r="Q644" s="68"/>
      <c r="R644" s="68">
        <f t="shared" si="85"/>
        <v>2.934191149224508</v>
      </c>
      <c r="S644" s="68">
        <f t="shared" si="86"/>
        <v>2.891144447061442</v>
      </c>
      <c r="T644" s="68">
        <f t="shared" si="87"/>
        <v>2.8473929968967195</v>
      </c>
      <c r="U644" s="68">
        <f t="shared" si="88"/>
        <v>97.73158981545114</v>
      </c>
    </row>
    <row r="645" spans="11:21" ht="15">
      <c r="K645">
        <f t="shared" si="83"/>
        <v>519</v>
      </c>
      <c r="L645" s="120">
        <f t="shared" si="89"/>
        <v>40997</v>
      </c>
      <c r="M645" s="118">
        <f t="shared" si="84"/>
        <v>106.41680003035117</v>
      </c>
      <c r="N645" s="68"/>
      <c r="O645" s="68"/>
      <c r="P645" s="68"/>
      <c r="Q645" s="68"/>
      <c r="R645" s="68">
        <f t="shared" si="85"/>
        <v>2.934535340743412</v>
      </c>
      <c r="S645" s="68">
        <f t="shared" si="86"/>
        <v>2.891483589042314</v>
      </c>
      <c r="T645" s="68">
        <f t="shared" si="87"/>
        <v>2.8477270066700022</v>
      </c>
      <c r="U645" s="68">
        <f t="shared" si="88"/>
        <v>97.74305409389544</v>
      </c>
    </row>
    <row r="646" spans="11:21" ht="15">
      <c r="K646">
        <f t="shared" si="83"/>
        <v>520</v>
      </c>
      <c r="L646" s="120">
        <f t="shared" si="89"/>
        <v>40998</v>
      </c>
      <c r="M646" s="118">
        <f t="shared" si="84"/>
        <v>106.42928311620912</v>
      </c>
      <c r="N646" s="68"/>
      <c r="O646" s="68"/>
      <c r="P646" s="68"/>
      <c r="Q646" s="68"/>
      <c r="R646" s="68">
        <f t="shared" si="85"/>
        <v>2.93487957263726</v>
      </c>
      <c r="S646" s="68">
        <f t="shared" si="86"/>
        <v>2.8918227708058004</v>
      </c>
      <c r="T646" s="68">
        <f t="shared" si="87"/>
        <v>2.8480610556238717</v>
      </c>
      <c r="U646" s="68">
        <f t="shared" si="88"/>
        <v>97.75451971714219</v>
      </c>
    </row>
    <row r="647" spans="11:21" ht="15">
      <c r="K647">
        <f t="shared" si="83"/>
        <v>521</v>
      </c>
      <c r="L647" s="120">
        <f t="shared" si="89"/>
        <v>40999</v>
      </c>
      <c r="M647" s="118">
        <f t="shared" si="84"/>
        <v>106.44176766637939</v>
      </c>
      <c r="N647" s="68"/>
      <c r="O647" s="68"/>
      <c r="P647" s="68"/>
      <c r="Q647" s="68"/>
      <c r="R647" s="68">
        <f t="shared" si="85"/>
        <v>2.935223844910787</v>
      </c>
      <c r="S647" s="68">
        <f t="shared" si="86"/>
        <v>2.892161992356567</v>
      </c>
      <c r="T647" s="68">
        <f t="shared" si="87"/>
        <v>2.8483951437629234</v>
      </c>
      <c r="U647" s="68">
        <f t="shared" si="88"/>
        <v>97.76598668534912</v>
      </c>
    </row>
    <row r="648" spans="11:21" ht="15">
      <c r="K648">
        <f t="shared" si="83"/>
        <v>522</v>
      </c>
      <c r="L648" s="120">
        <f t="shared" si="89"/>
        <v>41000</v>
      </c>
      <c r="M648" s="118">
        <f t="shared" si="84"/>
        <v>106.45425368103378</v>
      </c>
      <c r="N648" s="68"/>
      <c r="O648" s="68"/>
      <c r="P648" s="68"/>
      <c r="Q648" s="68"/>
      <c r="R648" s="68">
        <f t="shared" si="85"/>
        <v>2.9355681575687305</v>
      </c>
      <c r="S648" s="68">
        <f t="shared" si="86"/>
        <v>2.892501253699281</v>
      </c>
      <c r="T648" s="68">
        <f t="shared" si="87"/>
        <v>2.848729271091755</v>
      </c>
      <c r="U648" s="68">
        <f t="shared" si="88"/>
        <v>97.777454998674</v>
      </c>
    </row>
    <row r="649" spans="11:21" ht="15">
      <c r="K649">
        <f t="shared" si="83"/>
        <v>523</v>
      </c>
      <c r="L649" s="120">
        <f t="shared" si="89"/>
        <v>41001</v>
      </c>
      <c r="M649" s="118">
        <f t="shared" si="84"/>
        <v>106.46674116034401</v>
      </c>
      <c r="N649" s="68"/>
      <c r="O649" s="68"/>
      <c r="P649" s="68"/>
      <c r="Q649" s="68"/>
      <c r="R649" s="68">
        <f t="shared" si="85"/>
        <v>2.935912510615828</v>
      </c>
      <c r="S649" s="68">
        <f t="shared" si="86"/>
        <v>2.892840554838611</v>
      </c>
      <c r="T649" s="68">
        <f t="shared" si="87"/>
        <v>2.8490634376149626</v>
      </c>
      <c r="U649" s="68">
        <f t="shared" si="88"/>
        <v>97.78892465727462</v>
      </c>
    </row>
    <row r="650" spans="11:21" ht="15">
      <c r="K650">
        <f t="shared" si="83"/>
        <v>524</v>
      </c>
      <c r="L650" s="120">
        <f t="shared" si="89"/>
        <v>41002</v>
      </c>
      <c r="M650" s="118">
        <f t="shared" si="84"/>
        <v>106.47923010448199</v>
      </c>
      <c r="N650" s="68"/>
      <c r="O650" s="68"/>
      <c r="P650" s="68"/>
      <c r="Q650" s="68"/>
      <c r="R650" s="68">
        <f t="shared" si="85"/>
        <v>2.936256904056816</v>
      </c>
      <c r="S650" s="68">
        <f t="shared" si="86"/>
        <v>2.8931798957792245</v>
      </c>
      <c r="T650" s="68">
        <f t="shared" si="87"/>
        <v>2.849397643337145</v>
      </c>
      <c r="U650" s="68">
        <f t="shared" si="88"/>
        <v>97.8003956613088</v>
      </c>
    </row>
    <row r="651" spans="11:21" ht="15">
      <c r="K651">
        <f t="shared" si="83"/>
        <v>525</v>
      </c>
      <c r="L651" s="120">
        <f t="shared" si="89"/>
        <v>41003</v>
      </c>
      <c r="M651" s="118">
        <f t="shared" si="84"/>
        <v>106.49172051361948</v>
      </c>
      <c r="N651" s="68"/>
      <c r="O651" s="68"/>
      <c r="P651" s="68"/>
      <c r="Q651" s="68"/>
      <c r="R651" s="68">
        <f t="shared" si="85"/>
        <v>2.936601337896434</v>
      </c>
      <c r="S651" s="68">
        <f t="shared" si="86"/>
        <v>2.8935192765257907</v>
      </c>
      <c r="T651" s="68">
        <f t="shared" si="87"/>
        <v>2.8497318882629</v>
      </c>
      <c r="U651" s="68">
        <f t="shared" si="88"/>
        <v>97.81186801093436</v>
      </c>
    </row>
    <row r="652" spans="11:21" ht="15">
      <c r="K652">
        <f t="shared" si="83"/>
        <v>526</v>
      </c>
      <c r="L652" s="120">
        <f t="shared" si="89"/>
        <v>41004</v>
      </c>
      <c r="M652" s="118">
        <f t="shared" si="84"/>
        <v>106.50421238792835</v>
      </c>
      <c r="N652" s="68"/>
      <c r="O652" s="68"/>
      <c r="P652" s="68"/>
      <c r="Q652" s="68"/>
      <c r="R652" s="68">
        <f t="shared" si="85"/>
        <v>2.9369458121394207</v>
      </c>
      <c r="S652" s="68">
        <f t="shared" si="86"/>
        <v>2.893858697082979</v>
      </c>
      <c r="T652" s="68">
        <f t="shared" si="87"/>
        <v>2.8500661723968257</v>
      </c>
      <c r="U652" s="68">
        <f t="shared" si="88"/>
        <v>97.82334170630912</v>
      </c>
    </row>
    <row r="653" spans="11:21" ht="15">
      <c r="K653">
        <f t="shared" si="83"/>
        <v>527</v>
      </c>
      <c r="L653" s="120">
        <f t="shared" si="89"/>
        <v>41005</v>
      </c>
      <c r="M653" s="118">
        <f t="shared" si="84"/>
        <v>106.51670572758047</v>
      </c>
      <c r="N653" s="68"/>
      <c r="O653" s="68"/>
      <c r="P653" s="68"/>
      <c r="Q653" s="68"/>
      <c r="R653" s="68">
        <f t="shared" si="85"/>
        <v>2.9372903267905155</v>
      </c>
      <c r="S653" s="68">
        <f t="shared" si="86"/>
        <v>2.8941981574554587</v>
      </c>
      <c r="T653" s="68">
        <f t="shared" si="87"/>
        <v>2.850400495743522</v>
      </c>
      <c r="U653" s="68">
        <f t="shared" si="88"/>
        <v>97.83481674759098</v>
      </c>
    </row>
    <row r="654" spans="11:21" ht="15">
      <c r="K654">
        <f t="shared" si="83"/>
        <v>528</v>
      </c>
      <c r="L654" s="120">
        <f t="shared" si="89"/>
        <v>41006</v>
      </c>
      <c r="M654" s="118">
        <f t="shared" si="84"/>
        <v>106.52920053274772</v>
      </c>
      <c r="N654" s="68"/>
      <c r="O654" s="68"/>
      <c r="P654" s="68"/>
      <c r="Q654" s="68"/>
      <c r="R654" s="68">
        <f t="shared" si="85"/>
        <v>2.9376348818544575</v>
      </c>
      <c r="S654" s="68">
        <f t="shared" si="86"/>
        <v>2.8945376576479016</v>
      </c>
      <c r="T654" s="68">
        <f t="shared" si="87"/>
        <v>2.850734858307588</v>
      </c>
      <c r="U654" s="68">
        <f t="shared" si="88"/>
        <v>97.84629313493778</v>
      </c>
    </row>
    <row r="655" spans="11:21" ht="15">
      <c r="K655">
        <f t="shared" si="83"/>
        <v>529</v>
      </c>
      <c r="L655" s="120">
        <f t="shared" si="89"/>
        <v>41007</v>
      </c>
      <c r="M655" s="118">
        <f t="shared" si="84"/>
        <v>106.54169680360204</v>
      </c>
      <c r="N655" s="68"/>
      <c r="O655" s="68"/>
      <c r="P655" s="68"/>
      <c r="Q655" s="68"/>
      <c r="R655" s="68">
        <f t="shared" si="85"/>
        <v>2.937979477335989</v>
      </c>
      <c r="S655" s="68">
        <f t="shared" si="86"/>
        <v>2.8948771976649774</v>
      </c>
      <c r="T655" s="68">
        <f t="shared" si="87"/>
        <v>2.851069260093625</v>
      </c>
      <c r="U655" s="68">
        <f t="shared" si="88"/>
        <v>97.85777086850744</v>
      </c>
    </row>
    <row r="656" spans="11:21" ht="15">
      <c r="K656">
        <f t="shared" si="83"/>
        <v>530</v>
      </c>
      <c r="L656" s="120">
        <f t="shared" si="89"/>
        <v>41008</v>
      </c>
      <c r="M656" s="118">
        <f t="shared" si="84"/>
        <v>106.55419454031534</v>
      </c>
      <c r="N656" s="68"/>
      <c r="O656" s="68"/>
      <c r="P656" s="68"/>
      <c r="Q656" s="68"/>
      <c r="R656" s="68">
        <f t="shared" si="85"/>
        <v>2.93832411323985</v>
      </c>
      <c r="S656" s="68">
        <f t="shared" si="86"/>
        <v>2.8952167775113584</v>
      </c>
      <c r="T656" s="68">
        <f t="shared" si="87"/>
        <v>2.8514037011062334</v>
      </c>
      <c r="U656" s="68">
        <f t="shared" si="88"/>
        <v>97.86924994845789</v>
      </c>
    </row>
    <row r="657" spans="11:21" ht="15">
      <c r="K657">
        <f t="shared" si="83"/>
        <v>531</v>
      </c>
      <c r="L657" s="120">
        <f t="shared" si="89"/>
        <v>41009</v>
      </c>
      <c r="M657" s="118">
        <f t="shared" si="84"/>
        <v>106.56669374305956</v>
      </c>
      <c r="N657" s="68"/>
      <c r="O657" s="68"/>
      <c r="P657" s="68"/>
      <c r="Q657" s="68"/>
      <c r="R657" s="68">
        <f t="shared" si="85"/>
        <v>2.9386687895707824</v>
      </c>
      <c r="S657" s="68">
        <f t="shared" si="86"/>
        <v>2.8955563971917164</v>
      </c>
      <c r="T657" s="68">
        <f t="shared" si="87"/>
        <v>2.851738181350015</v>
      </c>
      <c r="U657" s="68">
        <f t="shared" si="88"/>
        <v>97.88073037494705</v>
      </c>
    </row>
    <row r="658" spans="11:21" ht="15">
      <c r="K658">
        <f t="shared" si="83"/>
        <v>532</v>
      </c>
      <c r="L658" s="120">
        <f t="shared" si="89"/>
        <v>41010</v>
      </c>
      <c r="M658" s="118">
        <f t="shared" si="84"/>
        <v>106.5791944120067</v>
      </c>
      <c r="N658" s="68"/>
      <c r="O658" s="68"/>
      <c r="P658" s="68"/>
      <c r="Q658" s="68"/>
      <c r="R658" s="68">
        <f t="shared" si="85"/>
        <v>2.9390135063335285</v>
      </c>
      <c r="S658" s="68">
        <f t="shared" si="86"/>
        <v>2.8958960567107237</v>
      </c>
      <c r="T658" s="68">
        <f t="shared" si="87"/>
        <v>2.8520727008295705</v>
      </c>
      <c r="U658" s="68">
        <f t="shared" si="88"/>
        <v>97.89221214813287</v>
      </c>
    </row>
    <row r="659" spans="11:21" ht="15">
      <c r="K659">
        <f t="shared" si="83"/>
        <v>533</v>
      </c>
      <c r="L659" s="120">
        <f t="shared" si="89"/>
        <v>41011</v>
      </c>
      <c r="M659" s="118">
        <f t="shared" si="84"/>
        <v>106.59169654732871</v>
      </c>
      <c r="N659" s="68"/>
      <c r="O659" s="68"/>
      <c r="P659" s="68"/>
      <c r="Q659" s="68"/>
      <c r="R659" s="68">
        <f t="shared" si="85"/>
        <v>2.9393582635328315</v>
      </c>
      <c r="S659" s="68">
        <f t="shared" si="86"/>
        <v>2.896235756073055</v>
      </c>
      <c r="T659" s="68">
        <f t="shared" si="87"/>
        <v>2.8524072595495036</v>
      </c>
      <c r="U659" s="68">
        <f t="shared" si="88"/>
        <v>97.90369526817332</v>
      </c>
    </row>
    <row r="660" spans="11:21" ht="15">
      <c r="K660">
        <f t="shared" si="83"/>
        <v>534</v>
      </c>
      <c r="L660" s="120">
        <f t="shared" si="89"/>
        <v>41012</v>
      </c>
      <c r="M660" s="118">
        <f t="shared" si="84"/>
        <v>106.60420014919762</v>
      </c>
      <c r="N660" s="68"/>
      <c r="O660" s="68"/>
      <c r="P660" s="68"/>
      <c r="Q660" s="68"/>
      <c r="R660" s="68">
        <f t="shared" si="85"/>
        <v>2.9397030611734345</v>
      </c>
      <c r="S660" s="68">
        <f t="shared" si="86"/>
        <v>2.8965754952833827</v>
      </c>
      <c r="T660" s="68">
        <f t="shared" si="87"/>
        <v>2.8527418575144177</v>
      </c>
      <c r="U660" s="68">
        <f t="shared" si="88"/>
        <v>97.91517973522639</v>
      </c>
    </row>
    <row r="661" spans="11:21" ht="15">
      <c r="K661">
        <f t="shared" si="83"/>
        <v>535</v>
      </c>
      <c r="L661" s="120">
        <f t="shared" si="89"/>
        <v>41013</v>
      </c>
      <c r="M661" s="118">
        <f t="shared" si="84"/>
        <v>106.61670521778548</v>
      </c>
      <c r="N661" s="68"/>
      <c r="O661" s="68"/>
      <c r="P661" s="68"/>
      <c r="Q661" s="68"/>
      <c r="R661" s="68">
        <f t="shared" si="85"/>
        <v>2.94004789926008</v>
      </c>
      <c r="S661" s="68">
        <f t="shared" si="86"/>
        <v>2.8969152743463815</v>
      </c>
      <c r="T661" s="68">
        <f t="shared" si="87"/>
        <v>2.853076494728915</v>
      </c>
      <c r="U661" s="68">
        <f t="shared" si="88"/>
        <v>97.9266655494501</v>
      </c>
    </row>
    <row r="662" spans="11:21" ht="15">
      <c r="K662">
        <f t="shared" si="83"/>
        <v>536</v>
      </c>
      <c r="L662" s="120">
        <f t="shared" si="89"/>
        <v>41014</v>
      </c>
      <c r="M662" s="118">
        <f t="shared" si="84"/>
        <v>106.62921175326433</v>
      </c>
      <c r="N662" s="68"/>
      <c r="O662" s="68"/>
      <c r="P662" s="68"/>
      <c r="Q662" s="68"/>
      <c r="R662" s="68">
        <f t="shared" si="85"/>
        <v>2.940392777797515</v>
      </c>
      <c r="S662" s="68">
        <f t="shared" si="86"/>
        <v>2.897255093266726</v>
      </c>
      <c r="T662" s="68">
        <f t="shared" si="87"/>
        <v>2.8534111711976005</v>
      </c>
      <c r="U662" s="68">
        <f t="shared" si="88"/>
        <v>97.93815271100249</v>
      </c>
    </row>
    <row r="663" spans="11:21" ht="15">
      <c r="K663">
        <f t="shared" si="83"/>
        <v>537</v>
      </c>
      <c r="L663" s="120">
        <f t="shared" si="89"/>
        <v>41015</v>
      </c>
      <c r="M663" s="118">
        <f t="shared" si="84"/>
        <v>106.64171975580624</v>
      </c>
      <c r="N663" s="68"/>
      <c r="O663" s="68"/>
      <c r="P663" s="68"/>
      <c r="Q663" s="68"/>
      <c r="R663" s="68">
        <f t="shared" si="85"/>
        <v>2.9407376967904826</v>
      </c>
      <c r="S663" s="68">
        <f t="shared" si="86"/>
        <v>2.8975949520490922</v>
      </c>
      <c r="T663" s="68">
        <f t="shared" si="87"/>
        <v>2.853745886925079</v>
      </c>
      <c r="U663" s="68">
        <f t="shared" si="88"/>
        <v>97.94964122004158</v>
      </c>
    </row>
    <row r="664" spans="11:21" ht="15">
      <c r="K664">
        <f t="shared" si="83"/>
        <v>538</v>
      </c>
      <c r="L664" s="120">
        <f t="shared" si="89"/>
        <v>41016</v>
      </c>
      <c r="M664" s="118">
        <f t="shared" si="84"/>
        <v>106.65422922558328</v>
      </c>
      <c r="N664" s="68"/>
      <c r="O664" s="68"/>
      <c r="P664" s="68"/>
      <c r="Q664" s="68"/>
      <c r="R664" s="68">
        <f t="shared" si="85"/>
        <v>2.9410826562437293</v>
      </c>
      <c r="S664" s="68">
        <f t="shared" si="86"/>
        <v>2.8979348506981553</v>
      </c>
      <c r="T664" s="68">
        <f t="shared" si="87"/>
        <v>2.854080641915955</v>
      </c>
      <c r="U664" s="68">
        <f t="shared" si="88"/>
        <v>97.96113107672544</v>
      </c>
    </row>
    <row r="665" spans="11:21" ht="15">
      <c r="K665">
        <f t="shared" si="83"/>
        <v>539</v>
      </c>
      <c r="L665" s="120">
        <f t="shared" si="89"/>
        <v>41017</v>
      </c>
      <c r="M665" s="118">
        <f t="shared" si="84"/>
        <v>106.6667401627676</v>
      </c>
      <c r="N665" s="68"/>
      <c r="O665" s="68"/>
      <c r="P665" s="68"/>
      <c r="Q665" s="68"/>
      <c r="R665" s="68">
        <f t="shared" si="85"/>
        <v>2.9414276561620007</v>
      </c>
      <c r="S665" s="68">
        <f t="shared" si="86"/>
        <v>2.898274789218593</v>
      </c>
      <c r="T665" s="68">
        <f t="shared" si="87"/>
        <v>2.854415436174835</v>
      </c>
      <c r="U665" s="68">
        <f t="shared" si="88"/>
        <v>97.97262228121217</v>
      </c>
    </row>
    <row r="666" spans="11:21" ht="15">
      <c r="K666">
        <f t="shared" si="83"/>
        <v>540</v>
      </c>
      <c r="L666" s="120">
        <f t="shared" si="89"/>
        <v>41018</v>
      </c>
      <c r="M666" s="118">
        <f t="shared" si="84"/>
        <v>106.6792525675313</v>
      </c>
      <c r="N666" s="68"/>
      <c r="O666" s="68"/>
      <c r="P666" s="68"/>
      <c r="Q666" s="68"/>
      <c r="R666" s="68">
        <f t="shared" si="85"/>
        <v>2.941772696550044</v>
      </c>
      <c r="S666" s="68">
        <f t="shared" si="86"/>
        <v>2.898614767615081</v>
      </c>
      <c r="T666" s="68">
        <f t="shared" si="87"/>
        <v>2.8547502697063245</v>
      </c>
      <c r="U666" s="68">
        <f t="shared" si="88"/>
        <v>97.98411483365985</v>
      </c>
    </row>
    <row r="667" spans="11:21" ht="15">
      <c r="K667">
        <f t="shared" si="83"/>
        <v>541</v>
      </c>
      <c r="L667" s="120">
        <f t="shared" si="89"/>
        <v>41019</v>
      </c>
      <c r="M667" s="118">
        <f t="shared" si="84"/>
        <v>106.69176644004656</v>
      </c>
      <c r="N667" s="68"/>
      <c r="O667" s="68"/>
      <c r="P667" s="68"/>
      <c r="Q667" s="68"/>
      <c r="R667" s="68">
        <f t="shared" si="85"/>
        <v>2.942117777412606</v>
      </c>
      <c r="S667" s="68">
        <f t="shared" si="86"/>
        <v>2.8989547858922977</v>
      </c>
      <c r="T667" s="68">
        <f t="shared" si="87"/>
        <v>2.8550851425150316</v>
      </c>
      <c r="U667" s="68">
        <f t="shared" si="88"/>
        <v>97.99560873422662</v>
      </c>
    </row>
    <row r="668" spans="11:21" ht="15">
      <c r="K668">
        <f t="shared" si="83"/>
        <v>542</v>
      </c>
      <c r="L668" s="120">
        <f t="shared" si="89"/>
        <v>41020</v>
      </c>
      <c r="M668" s="118">
        <f t="shared" si="84"/>
        <v>106.70428178048556</v>
      </c>
      <c r="N668" s="68"/>
      <c r="O668" s="68"/>
      <c r="P668" s="68"/>
      <c r="Q668" s="68"/>
      <c r="R668" s="68">
        <f t="shared" si="85"/>
        <v>2.9424628987544352</v>
      </c>
      <c r="S668" s="68">
        <f t="shared" si="86"/>
        <v>2.899294844054921</v>
      </c>
      <c r="T668" s="68">
        <f t="shared" si="87"/>
        <v>2.8554200546055624</v>
      </c>
      <c r="U668" s="68">
        <f t="shared" si="88"/>
        <v>98.00710398307064</v>
      </c>
    </row>
    <row r="669" spans="11:21" ht="15">
      <c r="K669">
        <f t="shared" si="83"/>
        <v>543</v>
      </c>
      <c r="L669" s="120">
        <f t="shared" si="89"/>
        <v>41021</v>
      </c>
      <c r="M669" s="118">
        <f t="shared" si="84"/>
        <v>106.71679858902043</v>
      </c>
      <c r="N669" s="68"/>
      <c r="O669" s="68"/>
      <c r="P669" s="68"/>
      <c r="Q669" s="68"/>
      <c r="R669" s="68">
        <f t="shared" si="85"/>
        <v>2.9428080605802793</v>
      </c>
      <c r="S669" s="68">
        <f t="shared" si="86"/>
        <v>2.89963494210763</v>
      </c>
      <c r="T669" s="68">
        <f t="shared" si="87"/>
        <v>2.855755005982525</v>
      </c>
      <c r="U669" s="68">
        <f t="shared" si="88"/>
        <v>98.01860058035</v>
      </c>
    </row>
    <row r="670" spans="11:21" ht="15">
      <c r="K670">
        <f t="shared" si="83"/>
        <v>544</v>
      </c>
      <c r="L670" s="120">
        <f t="shared" si="89"/>
        <v>41022</v>
      </c>
      <c r="M670" s="118">
        <f t="shared" si="84"/>
        <v>106.72931686582346</v>
      </c>
      <c r="N670" s="68"/>
      <c r="O670" s="68"/>
      <c r="P670" s="68"/>
      <c r="Q670" s="68"/>
      <c r="R670" s="68">
        <f t="shared" si="85"/>
        <v>2.9431532628948878</v>
      </c>
      <c r="S670" s="68">
        <f t="shared" si="86"/>
        <v>2.8999750800551034</v>
      </c>
      <c r="T670" s="68">
        <f t="shared" si="87"/>
        <v>2.856089996650528</v>
      </c>
      <c r="U670" s="68">
        <f t="shared" si="88"/>
        <v>98.03009852622294</v>
      </c>
    </row>
    <row r="671" spans="11:21" ht="15">
      <c r="K671">
        <f t="shared" si="83"/>
        <v>545</v>
      </c>
      <c r="L671" s="120">
        <f t="shared" si="89"/>
        <v>41023</v>
      </c>
      <c r="M671" s="118">
        <f t="shared" si="84"/>
        <v>106.74183661106683</v>
      </c>
      <c r="N671" s="68"/>
      <c r="O671" s="68"/>
      <c r="P671" s="68"/>
      <c r="Q671" s="68"/>
      <c r="R671" s="68">
        <f t="shared" si="85"/>
        <v>2.9434985057030087</v>
      </c>
      <c r="S671" s="68">
        <f t="shared" si="86"/>
        <v>2.9003152579020215</v>
      </c>
      <c r="T671" s="68">
        <f t="shared" si="87"/>
        <v>2.8564250266141804</v>
      </c>
      <c r="U671" s="68">
        <f t="shared" si="88"/>
        <v>98.04159782084761</v>
      </c>
    </row>
    <row r="672" spans="11:21" ht="15">
      <c r="K672">
        <f t="shared" si="83"/>
        <v>546</v>
      </c>
      <c r="L672" s="120">
        <f t="shared" si="89"/>
        <v>41024</v>
      </c>
      <c r="M672" s="118">
        <f t="shared" si="84"/>
        <v>106.75435782492282</v>
      </c>
      <c r="N672" s="68"/>
      <c r="O672" s="68"/>
      <c r="P672" s="68"/>
      <c r="Q672" s="68"/>
      <c r="R672" s="68">
        <f t="shared" si="85"/>
        <v>2.943843789009395</v>
      </c>
      <c r="S672" s="68">
        <f t="shared" si="86"/>
        <v>2.9006554756530645</v>
      </c>
      <c r="T672" s="68">
        <f t="shared" si="87"/>
        <v>2.8567600958780925</v>
      </c>
      <c r="U672" s="68">
        <f t="shared" si="88"/>
        <v>98.05309846438227</v>
      </c>
    </row>
    <row r="673" spans="11:21" ht="15">
      <c r="K673">
        <f t="shared" si="83"/>
        <v>547</v>
      </c>
      <c r="L673" s="120">
        <f t="shared" si="89"/>
        <v>41025</v>
      </c>
      <c r="M673" s="118">
        <f t="shared" si="84"/>
        <v>106.7668805075637</v>
      </c>
      <c r="N673" s="68"/>
      <c r="O673" s="68"/>
      <c r="P673" s="68"/>
      <c r="Q673" s="68"/>
      <c r="R673" s="68">
        <f t="shared" si="85"/>
        <v>2.9441891128187936</v>
      </c>
      <c r="S673" s="68">
        <f t="shared" si="86"/>
        <v>2.9009957333129126</v>
      </c>
      <c r="T673" s="68">
        <f t="shared" si="87"/>
        <v>2.857095204446873</v>
      </c>
      <c r="U673" s="68">
        <f t="shared" si="88"/>
        <v>98.06460045698512</v>
      </c>
    </row>
    <row r="674" spans="11:21" ht="15">
      <c r="K674">
        <f aca="true" t="shared" si="90" ref="K674:K687">K673+1</f>
        <v>548</v>
      </c>
      <c r="L674" s="120">
        <f t="shared" si="89"/>
        <v>41026</v>
      </c>
      <c r="M674" s="118">
        <f aca="true" t="shared" si="91" ref="M674:M687">SUM(N674:U674)</f>
        <v>106.77940465916176</v>
      </c>
      <c r="N674" s="68"/>
      <c r="O674" s="68"/>
      <c r="P674" s="68"/>
      <c r="Q674" s="68"/>
      <c r="R674" s="68">
        <f t="shared" si="85"/>
        <v>2.9445344771359587</v>
      </c>
      <c r="S674" s="68">
        <f t="shared" si="86"/>
        <v>2.9013360308862484</v>
      </c>
      <c r="T674" s="68">
        <f t="shared" si="87"/>
        <v>2.857430352325133</v>
      </c>
      <c r="U674" s="68">
        <f t="shared" si="88"/>
        <v>98.07610379881442</v>
      </c>
    </row>
    <row r="675" spans="11:21" ht="15">
      <c r="K675">
        <f t="shared" si="90"/>
        <v>549</v>
      </c>
      <c r="L675" s="120">
        <f t="shared" si="89"/>
        <v>41027</v>
      </c>
      <c r="M675" s="118">
        <f t="shared" si="91"/>
        <v>106.7919302798893</v>
      </c>
      <c r="N675" s="68"/>
      <c r="O675" s="68"/>
      <c r="P675" s="68"/>
      <c r="Q675" s="68"/>
      <c r="R675" s="68">
        <f t="shared" si="85"/>
        <v>2.94487988196564</v>
      </c>
      <c r="S675" s="68">
        <f t="shared" si="86"/>
        <v>2.901676368377753</v>
      </c>
      <c r="T675" s="68">
        <f t="shared" si="87"/>
        <v>2.8577655395174846</v>
      </c>
      <c r="U675" s="68">
        <f t="shared" si="88"/>
        <v>98.08760849002843</v>
      </c>
    </row>
    <row r="676" spans="11:21" ht="15">
      <c r="K676">
        <f t="shared" si="90"/>
        <v>550</v>
      </c>
      <c r="L676" s="120">
        <f t="shared" si="89"/>
        <v>41028</v>
      </c>
      <c r="M676" s="118">
        <f t="shared" si="91"/>
        <v>106.80445736991871</v>
      </c>
      <c r="N676" s="68"/>
      <c r="O676" s="68"/>
      <c r="P676" s="68"/>
      <c r="Q676" s="68"/>
      <c r="R676" s="68">
        <f t="shared" si="85"/>
        <v>2.9452253273125915</v>
      </c>
      <c r="S676" s="68">
        <f t="shared" si="86"/>
        <v>2.90201674579211</v>
      </c>
      <c r="T676" s="68">
        <f t="shared" si="87"/>
        <v>2.8581007660285382</v>
      </c>
      <c r="U676" s="68">
        <f t="shared" si="88"/>
        <v>98.09911453078547</v>
      </c>
    </row>
    <row r="677" spans="11:21" ht="15">
      <c r="K677">
        <f t="shared" si="90"/>
        <v>551</v>
      </c>
      <c r="L677" s="120">
        <f t="shared" si="89"/>
        <v>41029</v>
      </c>
      <c r="M677" s="118">
        <f t="shared" si="91"/>
        <v>106.81698592942227</v>
      </c>
      <c r="N677" s="68"/>
      <c r="O677" s="68"/>
      <c r="P677" s="68"/>
      <c r="Q677" s="68"/>
      <c r="R677" s="68">
        <f t="shared" si="85"/>
        <v>2.9455708131815643</v>
      </c>
      <c r="S677" s="68">
        <f t="shared" si="86"/>
        <v>2.902357163134001</v>
      </c>
      <c r="T677" s="68">
        <f t="shared" si="87"/>
        <v>2.8584360318629067</v>
      </c>
      <c r="U677" s="68">
        <f t="shared" si="88"/>
        <v>98.1106219212438</v>
      </c>
    </row>
    <row r="678" spans="11:21" ht="15">
      <c r="K678">
        <f t="shared" si="90"/>
        <v>552</v>
      </c>
      <c r="L678" s="120">
        <f t="shared" si="89"/>
        <v>41030</v>
      </c>
      <c r="M678" s="118">
        <f t="shared" si="91"/>
        <v>106.82951595857239</v>
      </c>
      <c r="N678" s="68"/>
      <c r="O678" s="68"/>
      <c r="P678" s="68"/>
      <c r="Q678" s="68"/>
      <c r="R678" s="68">
        <f t="shared" si="85"/>
        <v>2.945916339577313</v>
      </c>
      <c r="S678" s="68">
        <f t="shared" si="86"/>
        <v>2.9026976204081105</v>
      </c>
      <c r="T678" s="68">
        <f t="shared" si="87"/>
        <v>2.8587713370252024</v>
      </c>
      <c r="U678" s="68">
        <f t="shared" si="88"/>
        <v>98.12213066156177</v>
      </c>
    </row>
    <row r="679" spans="11:21" ht="15">
      <c r="K679">
        <f t="shared" si="90"/>
        <v>553</v>
      </c>
      <c r="L679" s="120">
        <f t="shared" si="89"/>
        <v>41031</v>
      </c>
      <c r="M679" s="118">
        <f t="shared" si="91"/>
        <v>106.84204745754148</v>
      </c>
      <c r="N679" s="68"/>
      <c r="O679" s="68"/>
      <c r="P679" s="68"/>
      <c r="Q679" s="68"/>
      <c r="R679" s="68">
        <f t="shared" si="85"/>
        <v>2.946261906504591</v>
      </c>
      <c r="S679" s="68">
        <f t="shared" si="86"/>
        <v>2.903038117619123</v>
      </c>
      <c r="T679" s="68">
        <f t="shared" si="87"/>
        <v>2.859106681520039</v>
      </c>
      <c r="U679" s="68">
        <f t="shared" si="88"/>
        <v>98.13364075189773</v>
      </c>
    </row>
    <row r="680" spans="11:21" ht="15">
      <c r="K680">
        <f t="shared" si="90"/>
        <v>554</v>
      </c>
      <c r="L680" s="120">
        <f t="shared" si="89"/>
        <v>41032</v>
      </c>
      <c r="M680" s="118">
        <f t="shared" si="91"/>
        <v>106.85458042650193</v>
      </c>
      <c r="N680" s="68"/>
      <c r="O680" s="68"/>
      <c r="P680" s="68"/>
      <c r="Q680" s="68"/>
      <c r="R680" s="68">
        <f t="shared" si="85"/>
        <v>2.9466075139681536</v>
      </c>
      <c r="S680" s="68">
        <f t="shared" si="86"/>
        <v>2.9033786547717226</v>
      </c>
      <c r="T680" s="68">
        <f t="shared" si="87"/>
        <v>2.85944206535203</v>
      </c>
      <c r="U680" s="68">
        <f t="shared" si="88"/>
        <v>98.14515219241002</v>
      </c>
    </row>
    <row r="681" spans="11:21" ht="15">
      <c r="K681">
        <f t="shared" si="90"/>
        <v>555</v>
      </c>
      <c r="L681" s="120">
        <f t="shared" si="89"/>
        <v>41033</v>
      </c>
      <c r="M681" s="118">
        <f t="shared" si="91"/>
        <v>106.8671148656262</v>
      </c>
      <c r="N681" s="68"/>
      <c r="O681" s="68"/>
      <c r="P681" s="68"/>
      <c r="Q681" s="68"/>
      <c r="R681" s="68">
        <f t="shared" si="85"/>
        <v>2.946953161972754</v>
      </c>
      <c r="S681" s="68">
        <f t="shared" si="86"/>
        <v>2.9037192318705958</v>
      </c>
      <c r="T681" s="68">
        <f t="shared" si="87"/>
        <v>2.8597774885257907</v>
      </c>
      <c r="U681" s="68">
        <f t="shared" si="88"/>
        <v>98.15666498325706</v>
      </c>
    </row>
    <row r="682" spans="11:21" ht="15">
      <c r="K682">
        <f t="shared" si="90"/>
        <v>556</v>
      </c>
      <c r="L682" s="120">
        <f t="shared" si="89"/>
        <v>41034</v>
      </c>
      <c r="M682" s="118">
        <f t="shared" si="91"/>
        <v>106.8796507750867</v>
      </c>
      <c r="N682" s="68"/>
      <c r="O682" s="68"/>
      <c r="P682" s="68"/>
      <c r="Q682" s="68"/>
      <c r="R682" s="68">
        <f t="shared" si="85"/>
        <v>2.9472988505231505</v>
      </c>
      <c r="S682" s="68">
        <f t="shared" si="86"/>
        <v>2.904059848920426</v>
      </c>
      <c r="T682" s="68">
        <f t="shared" si="87"/>
        <v>2.860112951045935</v>
      </c>
      <c r="U682" s="68">
        <f t="shared" si="88"/>
        <v>98.16817912459719</v>
      </c>
    </row>
    <row r="683" spans="11:21" ht="15">
      <c r="K683">
        <f t="shared" si="90"/>
        <v>557</v>
      </c>
      <c r="L683" s="120">
        <f t="shared" si="89"/>
        <v>41035</v>
      </c>
      <c r="M683" s="118">
        <f t="shared" si="91"/>
        <v>106.89218815505595</v>
      </c>
      <c r="N683" s="68"/>
      <c r="O683" s="68"/>
      <c r="P683" s="68"/>
      <c r="Q683" s="68"/>
      <c r="R683" s="68">
        <f t="shared" si="85"/>
        <v>2.9476445796240967</v>
      </c>
      <c r="S683" s="68">
        <f t="shared" si="86"/>
        <v>2.9044005059259024</v>
      </c>
      <c r="T683" s="68">
        <f t="shared" si="87"/>
        <v>2.860448452917079</v>
      </c>
      <c r="U683" s="68">
        <f t="shared" si="88"/>
        <v>98.17969461658888</v>
      </c>
    </row>
    <row r="684" spans="11:21" ht="15">
      <c r="K684">
        <f t="shared" si="90"/>
        <v>558</v>
      </c>
      <c r="L684" s="120">
        <f t="shared" si="89"/>
        <v>41036</v>
      </c>
      <c r="M684" s="118">
        <f t="shared" si="91"/>
        <v>106.90472700570645</v>
      </c>
      <c r="N684" s="68"/>
      <c r="O684" s="68"/>
      <c r="P684" s="68"/>
      <c r="Q684" s="68"/>
      <c r="R684" s="68">
        <f t="shared" si="85"/>
        <v>2.9479903492803503</v>
      </c>
      <c r="S684" s="68">
        <f t="shared" si="86"/>
        <v>2.90474120289171</v>
      </c>
      <c r="T684" s="68">
        <f t="shared" si="87"/>
        <v>2.860783994143838</v>
      </c>
      <c r="U684" s="68">
        <f t="shared" si="88"/>
        <v>98.19121145939054</v>
      </c>
    </row>
    <row r="685" spans="11:21" ht="15">
      <c r="K685">
        <f t="shared" si="90"/>
        <v>559</v>
      </c>
      <c r="L685" s="120">
        <f t="shared" si="89"/>
        <v>41037</v>
      </c>
      <c r="M685" s="118">
        <f t="shared" si="91"/>
        <v>106.91726732721067</v>
      </c>
      <c r="N685" s="68"/>
      <c r="O685" s="68"/>
      <c r="P685" s="68"/>
      <c r="Q685" s="68"/>
      <c r="R685" s="68">
        <f t="shared" si="85"/>
        <v>2.9483361594966695</v>
      </c>
      <c r="S685" s="68">
        <f t="shared" si="86"/>
        <v>2.9050819398225376</v>
      </c>
      <c r="T685" s="68">
        <f t="shared" si="87"/>
        <v>2.8611195747308296</v>
      </c>
      <c r="U685" s="68">
        <f t="shared" si="88"/>
        <v>98.20272965316063</v>
      </c>
    </row>
    <row r="686" spans="11:21" ht="15">
      <c r="K686">
        <f t="shared" si="90"/>
        <v>560</v>
      </c>
      <c r="L686" s="120">
        <f t="shared" si="89"/>
        <v>41038</v>
      </c>
      <c r="M686" s="118">
        <f t="shared" si="91"/>
        <v>106.9298091197412</v>
      </c>
      <c r="N686" s="68"/>
      <c r="O686" s="68"/>
      <c r="P686" s="68"/>
      <c r="Q686" s="68"/>
      <c r="R686" s="68">
        <f t="shared" si="85"/>
        <v>2.948682010277811</v>
      </c>
      <c r="S686" s="68">
        <f t="shared" si="86"/>
        <v>2.905422716723072</v>
      </c>
      <c r="T686" s="68">
        <f t="shared" si="87"/>
        <v>2.86145519468267</v>
      </c>
      <c r="U686" s="68">
        <f t="shared" si="88"/>
        <v>98.21424919805764</v>
      </c>
    </row>
    <row r="687" spans="11:21" ht="15">
      <c r="K687">
        <f t="shared" si="90"/>
        <v>561</v>
      </c>
      <c r="L687" s="120">
        <f t="shared" si="89"/>
        <v>41039</v>
      </c>
      <c r="M687" s="118">
        <f t="shared" si="91"/>
        <v>106.94235238347055</v>
      </c>
      <c r="N687" s="68"/>
      <c r="O687" s="68"/>
      <c r="P687" s="68"/>
      <c r="Q687" s="68"/>
      <c r="R687" s="68">
        <f t="shared" si="85"/>
        <v>2.9490279016285332</v>
      </c>
      <c r="S687" s="68">
        <f t="shared" si="86"/>
        <v>2.905763533598003</v>
      </c>
      <c r="T687" s="68">
        <f t="shared" si="87"/>
        <v>2.8617908540039774</v>
      </c>
      <c r="U687" s="68">
        <f t="shared" si="88"/>
        <v>98.22577009424003</v>
      </c>
    </row>
  </sheetData>
  <sheetProtection/>
  <mergeCells count="10">
    <mergeCell ref="I5:J5"/>
    <mergeCell ref="D45:E45"/>
    <mergeCell ref="D19:G19"/>
    <mergeCell ref="I108:J108"/>
    <mergeCell ref="D29:E29"/>
    <mergeCell ref="H29:L29"/>
    <mergeCell ref="B64:D64"/>
    <mergeCell ref="F64:H64"/>
    <mergeCell ref="J64:L64"/>
    <mergeCell ref="I96:J96"/>
  </mergeCells>
  <hyperlinks>
    <hyperlink ref="I21" r:id="rId1" display="http://www.bcb.gov.br/?SELICLFTLBC"/>
    <hyperlink ref="F40" r:id="rId2" display="https://www.tesouro.fazenda.gov.br/pt/titulos-da-divida-interna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20">
      <selection activeCell="D49" sqref="D49"/>
    </sheetView>
  </sheetViews>
  <sheetFormatPr defaultColWidth="9.140625" defaultRowHeight="15"/>
  <cols>
    <col min="1" max="3" width="10.7109375" style="0" bestFit="1" customWidth="1"/>
    <col min="5" max="5" width="17.57421875" style="0" bestFit="1" customWidth="1"/>
    <col min="9" max="9" width="0" style="0" hidden="1" customWidth="1"/>
    <col min="11" max="12" width="0" style="0" hidden="1" customWidth="1"/>
    <col min="22" max="22" width="9.57421875" style="0" bestFit="1" customWidth="1"/>
  </cols>
  <sheetData>
    <row r="1" spans="2:14" ht="15.75" thickBot="1">
      <c r="B1" s="6" t="s">
        <v>108</v>
      </c>
      <c r="C1" s="160">
        <v>44826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.75" thickBot="1">
      <c r="A2" s="155" t="s">
        <v>179</v>
      </c>
      <c r="B2" s="161" t="s">
        <v>180</v>
      </c>
      <c r="C2" s="162" t="s">
        <v>181</v>
      </c>
      <c r="D2" s="161" t="s">
        <v>182</v>
      </c>
      <c r="E2" s="163" t="s">
        <v>183</v>
      </c>
      <c r="F2" s="161" t="s">
        <v>184</v>
      </c>
      <c r="G2" s="161" t="s">
        <v>185</v>
      </c>
      <c r="H2" s="161" t="s">
        <v>186</v>
      </c>
      <c r="I2" s="161" t="s">
        <v>187</v>
      </c>
      <c r="J2" s="161" t="s">
        <v>188</v>
      </c>
      <c r="K2" s="161" t="s">
        <v>189</v>
      </c>
      <c r="L2" s="161" t="s">
        <v>190</v>
      </c>
      <c r="M2" s="164" t="s">
        <v>85</v>
      </c>
      <c r="N2" s="163" t="s">
        <v>191</v>
      </c>
    </row>
    <row r="3" spans="1:15" ht="15.75" thickBot="1">
      <c r="A3" s="156"/>
      <c r="B3" s="165">
        <v>44837</v>
      </c>
      <c r="C3" s="166">
        <v>6245835</v>
      </c>
      <c r="D3" s="167">
        <v>1777720</v>
      </c>
      <c r="E3" s="168">
        <v>177141120711.95</v>
      </c>
      <c r="F3" s="169">
        <v>13.65</v>
      </c>
      <c r="G3" s="169">
        <v>13.65</v>
      </c>
      <c r="H3" s="169">
        <v>13.65</v>
      </c>
      <c r="I3" s="169">
        <v>13.65</v>
      </c>
      <c r="J3" s="169">
        <v>13.65</v>
      </c>
      <c r="K3" s="169">
        <v>13.65</v>
      </c>
      <c r="L3" s="169">
        <v>13.65</v>
      </c>
      <c r="M3" s="170">
        <f aca="true" t="shared" si="0" ref="M3:M40">_XLL.DIATRABALHOTOTAL($C$1,B3,feriados)-1</f>
        <v>7</v>
      </c>
      <c r="N3" s="6">
        <v>13.72</v>
      </c>
      <c r="O3" s="174"/>
    </row>
    <row r="4" spans="1:15" ht="15.75" thickBot="1">
      <c r="A4" s="156"/>
      <c r="B4" s="165">
        <v>44866</v>
      </c>
      <c r="C4" s="166">
        <v>484580</v>
      </c>
      <c r="D4" s="167">
        <v>3490</v>
      </c>
      <c r="E4" s="168">
        <v>344244496.9</v>
      </c>
      <c r="F4" s="169">
        <v>13.66</v>
      </c>
      <c r="G4" s="169">
        <v>13.66</v>
      </c>
      <c r="H4" s="169">
        <v>13.66</v>
      </c>
      <c r="I4" s="169">
        <v>13.66</v>
      </c>
      <c r="J4" s="169">
        <v>13.66</v>
      </c>
      <c r="K4" s="169">
        <v>13.66</v>
      </c>
      <c r="L4" s="169">
        <v>13.66</v>
      </c>
      <c r="M4" s="170">
        <f t="shared" si="0"/>
        <v>27</v>
      </c>
      <c r="N4" s="6">
        <v>13.72</v>
      </c>
      <c r="O4" s="174"/>
    </row>
    <row r="5" spans="1:14" ht="15.75" thickBot="1">
      <c r="A5" s="156"/>
      <c r="B5" s="165">
        <v>44896</v>
      </c>
      <c r="C5" s="166">
        <v>410143</v>
      </c>
      <c r="D5" s="167">
        <v>8000</v>
      </c>
      <c r="E5" s="168">
        <v>781102480</v>
      </c>
      <c r="F5" s="169">
        <v>13.67</v>
      </c>
      <c r="G5" s="169">
        <v>13.67</v>
      </c>
      <c r="H5" s="169">
        <v>13.68</v>
      </c>
      <c r="I5" s="169">
        <v>13.68</v>
      </c>
      <c r="J5" s="169">
        <v>13.68</v>
      </c>
      <c r="K5" s="169">
        <v>13.67</v>
      </c>
      <c r="L5" s="169">
        <v>13.68</v>
      </c>
      <c r="M5" s="170">
        <f t="shared" si="0"/>
        <v>47</v>
      </c>
      <c r="N5" s="6">
        <v>13.74</v>
      </c>
    </row>
    <row r="6" spans="1:14" ht="15.75" thickBot="1">
      <c r="A6" s="156"/>
      <c r="B6" s="165">
        <v>44928</v>
      </c>
      <c r="C6" s="166">
        <v>5693437</v>
      </c>
      <c r="D6" s="167">
        <v>394045</v>
      </c>
      <c r="E6" s="168">
        <v>38044765235.55</v>
      </c>
      <c r="F6" s="169">
        <v>13.69</v>
      </c>
      <c r="G6" s="169">
        <v>13.68</v>
      </c>
      <c r="H6" s="169">
        <v>13.7</v>
      </c>
      <c r="I6" s="169">
        <v>13.68</v>
      </c>
      <c r="J6" s="169">
        <v>13.69</v>
      </c>
      <c r="K6" s="169">
        <v>13.69</v>
      </c>
      <c r="L6" s="169">
        <v>13.69</v>
      </c>
      <c r="M6" s="170">
        <f t="shared" si="0"/>
        <v>69</v>
      </c>
      <c r="N6" s="6">
        <v>13.74</v>
      </c>
    </row>
    <row r="7" spans="1:14" ht="15.75" thickBot="1">
      <c r="A7" s="157"/>
      <c r="B7" s="165">
        <v>44958</v>
      </c>
      <c r="C7" s="166">
        <v>107255</v>
      </c>
      <c r="D7" s="171"/>
      <c r="E7" s="172"/>
      <c r="F7" s="171"/>
      <c r="G7" s="171"/>
      <c r="H7" s="171"/>
      <c r="I7" s="171"/>
      <c r="J7" s="171"/>
      <c r="K7" s="169">
        <v>13.69</v>
      </c>
      <c r="L7" s="169">
        <v>13.7</v>
      </c>
      <c r="M7" s="170">
        <f t="shared" si="0"/>
        <v>91</v>
      </c>
      <c r="N7" s="6">
        <v>13.74</v>
      </c>
    </row>
    <row r="8" spans="1:14" ht="15.75" thickBot="1">
      <c r="A8" s="157"/>
      <c r="B8" s="165">
        <v>44986</v>
      </c>
      <c r="C8" s="166">
        <v>101847</v>
      </c>
      <c r="D8" s="171"/>
      <c r="E8" s="172"/>
      <c r="F8" s="171"/>
      <c r="G8" s="171"/>
      <c r="H8" s="171"/>
      <c r="I8" s="171"/>
      <c r="J8" s="171"/>
      <c r="K8" s="169">
        <v>13.68</v>
      </c>
      <c r="L8" s="169">
        <v>13.71</v>
      </c>
      <c r="M8" s="170">
        <f t="shared" si="0"/>
        <v>109</v>
      </c>
      <c r="N8" s="6">
        <v>13.75</v>
      </c>
    </row>
    <row r="9" spans="1:14" ht="15.75" thickBot="1">
      <c r="A9" s="156"/>
      <c r="B9" s="165">
        <v>45019</v>
      </c>
      <c r="C9" s="166">
        <v>1006076</v>
      </c>
      <c r="D9" s="167">
        <v>156795</v>
      </c>
      <c r="E9" s="168">
        <v>14659641810.55</v>
      </c>
      <c r="F9" s="169">
        <v>13.73</v>
      </c>
      <c r="G9" s="169">
        <v>13.68</v>
      </c>
      <c r="H9" s="169">
        <v>13.73</v>
      </c>
      <c r="I9" s="169">
        <v>13.7</v>
      </c>
      <c r="J9" s="169">
        <v>13.71</v>
      </c>
      <c r="K9" s="169">
        <v>13.71</v>
      </c>
      <c r="L9" s="169">
        <v>13.71</v>
      </c>
      <c r="M9" s="170">
        <f t="shared" si="0"/>
        <v>132</v>
      </c>
      <c r="N9" s="6">
        <v>13.75</v>
      </c>
    </row>
    <row r="10" spans="1:14" ht="15.75" thickBot="1">
      <c r="A10" s="157"/>
      <c r="B10" s="165">
        <v>45048</v>
      </c>
      <c r="C10" s="166">
        <v>91290</v>
      </c>
      <c r="D10" s="171"/>
      <c r="E10" s="172"/>
      <c r="F10" s="171"/>
      <c r="G10" s="171"/>
      <c r="H10" s="171"/>
      <c r="I10" s="171"/>
      <c r="J10" s="171"/>
      <c r="K10" s="169">
        <v>13.69</v>
      </c>
      <c r="L10" s="169">
        <v>13.72</v>
      </c>
      <c r="M10" s="170">
        <f t="shared" si="0"/>
        <v>150</v>
      </c>
      <c r="N10" s="6">
        <v>13.67</v>
      </c>
    </row>
    <row r="11" spans="1:14" ht="15.75" thickBot="1">
      <c r="A11" s="157"/>
      <c r="B11" s="165">
        <v>45078</v>
      </c>
      <c r="C11" s="166">
        <v>39770</v>
      </c>
      <c r="D11" s="171"/>
      <c r="E11" s="172"/>
      <c r="F11" s="171"/>
      <c r="G11" s="171"/>
      <c r="H11" s="171"/>
      <c r="I11" s="171"/>
      <c r="J11" s="171"/>
      <c r="K11" s="169">
        <v>13.67</v>
      </c>
      <c r="L11" s="169">
        <v>13.71</v>
      </c>
      <c r="M11" s="170">
        <f t="shared" si="0"/>
        <v>172</v>
      </c>
      <c r="N11" s="6">
        <v>13.75</v>
      </c>
    </row>
    <row r="12" spans="1:14" ht="15.75" thickBot="1">
      <c r="A12" s="156"/>
      <c r="B12" s="165">
        <v>45110</v>
      </c>
      <c r="C12" s="166">
        <v>2430087</v>
      </c>
      <c r="D12" s="167">
        <v>154900</v>
      </c>
      <c r="E12" s="168">
        <v>14045814070.35</v>
      </c>
      <c r="F12" s="169">
        <v>13.68</v>
      </c>
      <c r="G12" s="169">
        <v>13.61</v>
      </c>
      <c r="H12" s="169">
        <v>13.68</v>
      </c>
      <c r="I12" s="169">
        <v>13.63</v>
      </c>
      <c r="J12" s="169">
        <v>13.63</v>
      </c>
      <c r="K12" s="169">
        <v>13.63</v>
      </c>
      <c r="L12" s="169">
        <v>13.64</v>
      </c>
      <c r="M12" s="170">
        <f t="shared" si="0"/>
        <v>193</v>
      </c>
      <c r="N12" s="6">
        <v>13.66</v>
      </c>
    </row>
    <row r="13" spans="1:14" ht="15.75" thickBot="1">
      <c r="A13" s="156"/>
      <c r="B13" s="165">
        <v>45139</v>
      </c>
      <c r="C13" s="166">
        <v>40060</v>
      </c>
      <c r="D13" s="169">
        <v>5</v>
      </c>
      <c r="E13" s="168">
        <v>448853.6</v>
      </c>
      <c r="F13" s="169">
        <v>13.55</v>
      </c>
      <c r="G13" s="169">
        <v>13.55</v>
      </c>
      <c r="H13" s="169">
        <v>13.55</v>
      </c>
      <c r="I13" s="169">
        <v>13.55</v>
      </c>
      <c r="J13" s="169">
        <v>13.55</v>
      </c>
      <c r="K13" s="169">
        <v>13.55</v>
      </c>
      <c r="L13" s="169">
        <v>13.57</v>
      </c>
      <c r="M13" s="170">
        <f t="shared" si="0"/>
        <v>214</v>
      </c>
      <c r="N13" s="6">
        <v>13.6</v>
      </c>
    </row>
    <row r="14" spans="1:14" ht="15.75" thickBot="1">
      <c r="A14" s="157"/>
      <c r="B14" s="165">
        <v>45170</v>
      </c>
      <c r="C14" s="166">
        <v>41395</v>
      </c>
      <c r="D14" s="171"/>
      <c r="E14" s="172"/>
      <c r="F14" s="171"/>
      <c r="G14" s="171"/>
      <c r="H14" s="171"/>
      <c r="I14" s="171"/>
      <c r="J14" s="171"/>
      <c r="K14" s="169">
        <v>13.44</v>
      </c>
      <c r="L14" s="169">
        <v>13.46</v>
      </c>
      <c r="M14" s="170">
        <f t="shared" si="0"/>
        <v>237</v>
      </c>
      <c r="N14" s="6">
        <v>13.52</v>
      </c>
    </row>
    <row r="15" spans="1:14" ht="15.75" thickBot="1">
      <c r="A15" s="156"/>
      <c r="B15" s="165">
        <v>45201</v>
      </c>
      <c r="C15" s="166">
        <v>352216</v>
      </c>
      <c r="D15" s="167">
        <v>18765</v>
      </c>
      <c r="E15" s="168">
        <v>1651231435.05</v>
      </c>
      <c r="F15" s="169">
        <v>13.36</v>
      </c>
      <c r="G15" s="169">
        <v>13.33</v>
      </c>
      <c r="H15" s="169">
        <v>13.38</v>
      </c>
      <c r="I15" s="169">
        <v>13.36</v>
      </c>
      <c r="J15" s="169">
        <v>13.35</v>
      </c>
      <c r="K15" s="169">
        <v>13.35</v>
      </c>
      <c r="L15" s="169">
        <v>13.36</v>
      </c>
      <c r="M15" s="170">
        <f t="shared" si="0"/>
        <v>257</v>
      </c>
      <c r="N15" s="6">
        <v>13.43</v>
      </c>
    </row>
    <row r="16" spans="1:14" ht="15.75" thickBot="1">
      <c r="A16" s="156"/>
      <c r="B16" s="165">
        <v>45293</v>
      </c>
      <c r="C16" s="166">
        <v>4238681</v>
      </c>
      <c r="D16" s="167">
        <v>657990</v>
      </c>
      <c r="E16" s="168">
        <v>56389887997.35</v>
      </c>
      <c r="F16" s="169">
        <v>13.1</v>
      </c>
      <c r="G16" s="169">
        <v>12.98</v>
      </c>
      <c r="H16" s="169">
        <v>13.1</v>
      </c>
      <c r="I16" s="169">
        <v>13</v>
      </c>
      <c r="J16" s="169">
        <v>12.98</v>
      </c>
      <c r="K16" s="169">
        <v>12.98</v>
      </c>
      <c r="L16" s="169">
        <v>12.99</v>
      </c>
      <c r="M16" s="170">
        <f t="shared" si="0"/>
        <v>318</v>
      </c>
      <c r="N16" s="6">
        <v>13.08</v>
      </c>
    </row>
    <row r="17" spans="1:14" ht="15.75" thickBot="1">
      <c r="A17" s="156"/>
      <c r="B17" s="165">
        <v>45383</v>
      </c>
      <c r="C17" s="166">
        <v>844291</v>
      </c>
      <c r="D17" s="167">
        <v>8920</v>
      </c>
      <c r="E17" s="168">
        <v>745622179.1</v>
      </c>
      <c r="F17" s="169">
        <v>12.65</v>
      </c>
      <c r="G17" s="169">
        <v>12.63</v>
      </c>
      <c r="H17" s="169">
        <v>12.68</v>
      </c>
      <c r="I17" s="169">
        <v>12.66</v>
      </c>
      <c r="J17" s="169">
        <v>12.65</v>
      </c>
      <c r="K17" s="169">
        <v>12.64</v>
      </c>
      <c r="L17" s="169">
        <v>12.65</v>
      </c>
      <c r="M17" s="170">
        <f t="shared" si="0"/>
        <v>379</v>
      </c>
      <c r="N17" s="6">
        <v>12.73</v>
      </c>
    </row>
    <row r="18" spans="1:14" ht="15.75" thickBot="1">
      <c r="A18" s="156"/>
      <c r="B18" s="165">
        <v>45474</v>
      </c>
      <c r="C18" s="166">
        <v>899866</v>
      </c>
      <c r="D18" s="167">
        <v>33385</v>
      </c>
      <c r="E18" s="168">
        <v>2722493497.55</v>
      </c>
      <c r="F18" s="169">
        <v>12.27</v>
      </c>
      <c r="G18" s="169">
        <v>12.22</v>
      </c>
      <c r="H18" s="169">
        <v>12.3</v>
      </c>
      <c r="I18" s="169">
        <v>12.27</v>
      </c>
      <c r="J18" s="169">
        <v>12.28</v>
      </c>
      <c r="K18" s="169">
        <v>12.28</v>
      </c>
      <c r="L18" s="169">
        <v>12.28</v>
      </c>
      <c r="M18" s="170">
        <f t="shared" si="0"/>
        <v>442</v>
      </c>
      <c r="N18" s="6">
        <v>12.34</v>
      </c>
    </row>
    <row r="19" spans="1:14" ht="15.75" thickBot="1">
      <c r="A19" s="156"/>
      <c r="B19" s="165">
        <v>45566</v>
      </c>
      <c r="C19" s="166">
        <v>293692</v>
      </c>
      <c r="D19" s="167">
        <v>5715</v>
      </c>
      <c r="E19" s="168">
        <v>455061085.35</v>
      </c>
      <c r="F19" s="169">
        <v>11.94</v>
      </c>
      <c r="G19" s="169">
        <v>11.9</v>
      </c>
      <c r="H19" s="169">
        <v>12</v>
      </c>
      <c r="I19" s="169">
        <v>11.97</v>
      </c>
      <c r="J19" s="169">
        <v>11.98</v>
      </c>
      <c r="K19" s="169">
        <v>11.96</v>
      </c>
      <c r="L19" s="169">
        <v>11.97</v>
      </c>
      <c r="M19" s="170">
        <f t="shared" si="0"/>
        <v>508</v>
      </c>
      <c r="N19" s="6">
        <v>12.03</v>
      </c>
    </row>
    <row r="20" spans="1:14" ht="15.75" thickBot="1">
      <c r="A20" s="156"/>
      <c r="B20" s="165">
        <v>45659</v>
      </c>
      <c r="C20" s="166">
        <v>3518693</v>
      </c>
      <c r="D20" s="167">
        <v>207095</v>
      </c>
      <c r="E20" s="168">
        <v>16117724806.05</v>
      </c>
      <c r="F20" s="169">
        <v>11.69</v>
      </c>
      <c r="G20" s="169">
        <v>11.61</v>
      </c>
      <c r="H20" s="169">
        <v>11.74</v>
      </c>
      <c r="I20" s="169">
        <v>11.67</v>
      </c>
      <c r="J20" s="169">
        <v>11.71</v>
      </c>
      <c r="K20" s="169">
        <v>11.71</v>
      </c>
      <c r="L20" s="169">
        <v>11.71</v>
      </c>
      <c r="M20" s="170">
        <f t="shared" si="0"/>
        <v>572</v>
      </c>
      <c r="N20" s="6">
        <v>11.74</v>
      </c>
    </row>
    <row r="21" spans="1:14" ht="15.75" thickBot="1">
      <c r="A21" s="156"/>
      <c r="B21" s="165">
        <v>45748</v>
      </c>
      <c r="C21" s="166">
        <v>81741</v>
      </c>
      <c r="D21" s="169">
        <v>245</v>
      </c>
      <c r="E21" s="168">
        <v>18620275.1</v>
      </c>
      <c r="F21" s="169">
        <v>11.48</v>
      </c>
      <c r="G21" s="169">
        <v>11.47</v>
      </c>
      <c r="H21" s="169">
        <v>11.6</v>
      </c>
      <c r="I21" s="169">
        <v>11.54</v>
      </c>
      <c r="J21" s="169">
        <v>11.57</v>
      </c>
      <c r="K21" s="169">
        <v>11.56</v>
      </c>
      <c r="L21" s="169">
        <v>11.57</v>
      </c>
      <c r="M21" s="170">
        <f t="shared" si="0"/>
        <v>633</v>
      </c>
      <c r="N21" s="6">
        <v>11.58</v>
      </c>
    </row>
    <row r="22" spans="1:23" ht="15.75" thickBot="1">
      <c r="A22" s="156"/>
      <c r="B22" s="165">
        <v>45839</v>
      </c>
      <c r="C22" s="166">
        <v>967672</v>
      </c>
      <c r="D22" s="167">
        <v>15480</v>
      </c>
      <c r="E22" s="168">
        <v>1147219465.3</v>
      </c>
      <c r="F22" s="169">
        <v>11.47</v>
      </c>
      <c r="G22" s="169">
        <v>11.37</v>
      </c>
      <c r="H22" s="169">
        <v>11.52</v>
      </c>
      <c r="I22" s="169">
        <v>11.44</v>
      </c>
      <c r="J22" s="169">
        <v>11.48</v>
      </c>
      <c r="K22" s="169">
        <v>11.48</v>
      </c>
      <c r="L22" s="169">
        <v>11.49</v>
      </c>
      <c r="M22" s="170">
        <f t="shared" si="0"/>
        <v>694</v>
      </c>
      <c r="N22" s="6">
        <v>11.49</v>
      </c>
      <c r="T22">
        <v>12.66</v>
      </c>
      <c r="U22">
        <v>15</v>
      </c>
      <c r="V22">
        <f>1+T22/100</f>
        <v>1.1266</v>
      </c>
      <c r="W22">
        <f>V22^(U22/252)</f>
        <v>1.0071207235610629</v>
      </c>
    </row>
    <row r="23" spans="1:23" ht="15.75" thickBot="1">
      <c r="A23" s="156"/>
      <c r="B23" s="165">
        <v>45931</v>
      </c>
      <c r="C23" s="166">
        <v>44058</v>
      </c>
      <c r="D23" s="167">
        <v>1190</v>
      </c>
      <c r="E23" s="168">
        <v>85978607.8</v>
      </c>
      <c r="F23" s="169">
        <v>11.37</v>
      </c>
      <c r="G23" s="169">
        <v>11.36</v>
      </c>
      <c r="H23" s="169">
        <v>11.46</v>
      </c>
      <c r="I23" s="169">
        <v>11.38</v>
      </c>
      <c r="J23" s="169">
        <v>11.46</v>
      </c>
      <c r="K23" s="169">
        <v>11.44</v>
      </c>
      <c r="L23" s="169">
        <v>11.45</v>
      </c>
      <c r="M23" s="170">
        <f t="shared" si="0"/>
        <v>760</v>
      </c>
      <c r="N23" s="6">
        <v>11.48</v>
      </c>
      <c r="T23">
        <v>12.57</v>
      </c>
      <c r="U23">
        <v>35</v>
      </c>
      <c r="V23">
        <f>1+T23/100</f>
        <v>1.1257</v>
      </c>
      <c r="W23">
        <f>V23^(U23/252)</f>
        <v>1.0165811135770124</v>
      </c>
    </row>
    <row r="24" spans="1:23" ht="15.75" thickBot="1">
      <c r="A24" s="156"/>
      <c r="B24" s="165">
        <v>46024</v>
      </c>
      <c r="C24" s="166">
        <v>1208256</v>
      </c>
      <c r="D24" s="167">
        <v>137770</v>
      </c>
      <c r="E24" s="168">
        <v>9660476052.6</v>
      </c>
      <c r="F24" s="169">
        <v>11.34</v>
      </c>
      <c r="G24" s="169">
        <v>11.3</v>
      </c>
      <c r="H24" s="169">
        <v>11.45</v>
      </c>
      <c r="I24" s="169">
        <v>11.37</v>
      </c>
      <c r="J24" s="169">
        <v>11.41</v>
      </c>
      <c r="K24" s="169">
        <v>11.41</v>
      </c>
      <c r="L24" s="169">
        <v>11.42</v>
      </c>
      <c r="M24" s="170">
        <f t="shared" si="0"/>
        <v>825</v>
      </c>
      <c r="N24" s="6">
        <v>11.41</v>
      </c>
      <c r="U24">
        <f>U23-U22</f>
        <v>20</v>
      </c>
      <c r="V24" s="175">
        <f>W24^(252/U24)</f>
        <v>1.1250254718603707</v>
      </c>
      <c r="W24">
        <f>W23/W22</f>
        <v>1.0093935014885789</v>
      </c>
    </row>
    <row r="25" spans="1:14" ht="15.75" thickBot="1">
      <c r="A25" s="156"/>
      <c r="B25" s="165">
        <v>46113</v>
      </c>
      <c r="C25" s="166">
        <v>35830</v>
      </c>
      <c r="D25" s="169">
        <v>25</v>
      </c>
      <c r="E25" s="168">
        <v>1713372.4</v>
      </c>
      <c r="F25" s="169">
        <v>11.32</v>
      </c>
      <c r="G25" s="169">
        <v>11.32</v>
      </c>
      <c r="H25" s="169">
        <v>11.37</v>
      </c>
      <c r="I25" s="169">
        <v>11.35</v>
      </c>
      <c r="J25" s="169">
        <v>11.37</v>
      </c>
      <c r="K25" s="169">
        <v>11.38</v>
      </c>
      <c r="L25" s="169">
        <v>11.39</v>
      </c>
      <c r="M25" s="170">
        <f t="shared" si="0"/>
        <v>886</v>
      </c>
      <c r="N25" s="6">
        <v>11.43</v>
      </c>
    </row>
    <row r="26" spans="1:14" ht="15.75" thickBot="1">
      <c r="A26" s="156"/>
      <c r="B26" s="165">
        <v>46204</v>
      </c>
      <c r="C26" s="166">
        <v>108765</v>
      </c>
      <c r="D26" s="167">
        <v>1690</v>
      </c>
      <c r="E26" s="168">
        <v>112920087.85</v>
      </c>
      <c r="F26" s="169">
        <v>11.27</v>
      </c>
      <c r="G26" s="169">
        <v>11.26</v>
      </c>
      <c r="H26" s="169">
        <v>11.39</v>
      </c>
      <c r="I26" s="169">
        <v>11.33</v>
      </c>
      <c r="J26" s="169">
        <v>11.38</v>
      </c>
      <c r="K26" s="169">
        <v>11.36</v>
      </c>
      <c r="L26" s="169">
        <v>11.37</v>
      </c>
      <c r="M26" s="170">
        <f t="shared" si="0"/>
        <v>947</v>
      </c>
      <c r="N26" s="6">
        <v>11.38</v>
      </c>
    </row>
    <row r="27" spans="1:23" ht="15.75" thickBot="1">
      <c r="A27" s="156"/>
      <c r="B27" s="165">
        <v>46296</v>
      </c>
      <c r="C27" s="166">
        <v>16933</v>
      </c>
      <c r="D27" s="169">
        <v>75</v>
      </c>
      <c r="E27" s="168">
        <v>4878319.55</v>
      </c>
      <c r="F27" s="169">
        <v>11.26</v>
      </c>
      <c r="G27" s="169">
        <v>11.26</v>
      </c>
      <c r="H27" s="169">
        <v>11.38</v>
      </c>
      <c r="I27" s="169">
        <v>11.3</v>
      </c>
      <c r="J27" s="169">
        <v>11.38</v>
      </c>
      <c r="K27" s="169">
        <v>11.34</v>
      </c>
      <c r="L27" s="169">
        <v>11.36</v>
      </c>
      <c r="M27" s="170">
        <f t="shared" si="0"/>
        <v>1012</v>
      </c>
      <c r="N27" s="6">
        <v>11.44</v>
      </c>
      <c r="T27" s="158">
        <f>T22</f>
        <v>12.66</v>
      </c>
      <c r="U27">
        <v>11</v>
      </c>
      <c r="V27">
        <f>1+T27/100</f>
        <v>1.1266</v>
      </c>
      <c r="W27">
        <f>V27^(U27/252)</f>
        <v>1.0052169209973716</v>
      </c>
    </row>
    <row r="28" spans="1:23" ht="15.75" thickBot="1">
      <c r="A28" s="156"/>
      <c r="B28" s="165">
        <v>46391</v>
      </c>
      <c r="C28" s="166">
        <v>1119118</v>
      </c>
      <c r="D28" s="167">
        <v>97440</v>
      </c>
      <c r="E28" s="168">
        <v>6170945791.6</v>
      </c>
      <c r="F28" s="169">
        <v>11.25</v>
      </c>
      <c r="G28" s="169">
        <v>11.23</v>
      </c>
      <c r="H28" s="169">
        <v>11.37</v>
      </c>
      <c r="I28" s="169">
        <v>11.3</v>
      </c>
      <c r="J28" s="169">
        <v>11.34</v>
      </c>
      <c r="K28" s="169">
        <v>11.34</v>
      </c>
      <c r="L28" s="169">
        <v>11.34</v>
      </c>
      <c r="M28" s="170">
        <f t="shared" si="0"/>
        <v>1075</v>
      </c>
      <c r="N28" s="6">
        <v>11.36</v>
      </c>
      <c r="T28" s="158">
        <f>(V24-1)*100</f>
        <v>12.502547186037072</v>
      </c>
      <c r="U28">
        <v>20</v>
      </c>
      <c r="V28" s="159">
        <f>1+T28/100</f>
        <v>1.1250254718603707</v>
      </c>
      <c r="W28">
        <f>V28^(U28/252)</f>
        <v>1.0093935014885789</v>
      </c>
    </row>
    <row r="29" spans="1:23" ht="15.75" thickBot="1">
      <c r="A29" s="157"/>
      <c r="B29" s="165">
        <v>46478</v>
      </c>
      <c r="C29" s="166">
        <v>25448</v>
      </c>
      <c r="D29" s="171"/>
      <c r="E29" s="172"/>
      <c r="F29" s="171"/>
      <c r="G29" s="171"/>
      <c r="H29" s="171"/>
      <c r="I29" s="171"/>
      <c r="J29" s="171"/>
      <c r="K29" s="169">
        <v>11.32</v>
      </c>
      <c r="L29" s="169">
        <v>11.35</v>
      </c>
      <c r="M29" s="170">
        <f t="shared" si="0"/>
        <v>1135</v>
      </c>
      <c r="N29" s="6">
        <v>11.35</v>
      </c>
      <c r="U29">
        <f>U28-U27</f>
        <v>9</v>
      </c>
      <c r="V29" s="175">
        <f>W29^(252/U29)</f>
        <v>1.1231040366694556</v>
      </c>
      <c r="W29">
        <f>W28/W27</f>
        <v>1.004154904681731</v>
      </c>
    </row>
    <row r="30" spans="1:14" ht="15.75" thickBot="1">
      <c r="A30" s="156"/>
      <c r="B30" s="165">
        <v>46569</v>
      </c>
      <c r="C30" s="166">
        <v>15635</v>
      </c>
      <c r="D30" s="169">
        <v>5</v>
      </c>
      <c r="E30" s="168">
        <v>300369.1</v>
      </c>
      <c r="F30" s="169">
        <v>11.31</v>
      </c>
      <c r="G30" s="169">
        <v>11.31</v>
      </c>
      <c r="H30" s="169">
        <v>11.31</v>
      </c>
      <c r="I30" s="169">
        <v>11.31</v>
      </c>
      <c r="J30" s="169">
        <v>11.31</v>
      </c>
      <c r="K30" s="169">
        <v>11.33</v>
      </c>
      <c r="L30" s="169">
        <v>11.35</v>
      </c>
      <c r="M30" s="170">
        <f t="shared" si="0"/>
        <v>1198</v>
      </c>
      <c r="N30" s="6">
        <v>11.36</v>
      </c>
    </row>
    <row r="31" spans="1:14" ht="15.75" thickBot="1">
      <c r="A31" s="156"/>
      <c r="B31" s="165">
        <v>46755</v>
      </c>
      <c r="C31" s="166">
        <v>87830</v>
      </c>
      <c r="D31" s="167">
        <v>1145</v>
      </c>
      <c r="E31" s="168">
        <v>65139513.1</v>
      </c>
      <c r="F31" s="169">
        <v>11.27</v>
      </c>
      <c r="G31" s="169">
        <v>11.26</v>
      </c>
      <c r="H31" s="169">
        <v>11.39</v>
      </c>
      <c r="I31" s="169">
        <v>11.31</v>
      </c>
      <c r="J31" s="169">
        <v>11.37</v>
      </c>
      <c r="K31" s="169">
        <v>11.35</v>
      </c>
      <c r="L31" s="169">
        <v>11.36</v>
      </c>
      <c r="M31" s="170">
        <f t="shared" si="0"/>
        <v>1326</v>
      </c>
      <c r="N31" s="6">
        <v>11.38</v>
      </c>
    </row>
    <row r="32" spans="1:14" ht="15.75" thickBot="1">
      <c r="A32" s="156"/>
      <c r="B32" s="165">
        <v>47120</v>
      </c>
      <c r="C32" s="166">
        <v>483762</v>
      </c>
      <c r="D32" s="167">
        <v>18540</v>
      </c>
      <c r="E32" s="168">
        <v>943263198.45</v>
      </c>
      <c r="F32" s="169">
        <v>11.4</v>
      </c>
      <c r="G32" s="169">
        <v>11.33</v>
      </c>
      <c r="H32" s="169">
        <v>11.48</v>
      </c>
      <c r="I32" s="169">
        <v>11.42</v>
      </c>
      <c r="J32" s="169">
        <v>11.44</v>
      </c>
      <c r="K32" s="169">
        <v>11.44</v>
      </c>
      <c r="L32" s="169">
        <v>11.45</v>
      </c>
      <c r="M32" s="170">
        <f t="shared" si="0"/>
        <v>1575</v>
      </c>
      <c r="N32" s="6">
        <v>11.48</v>
      </c>
    </row>
    <row r="33" spans="1:14" ht="15.75" thickBot="1">
      <c r="A33" s="156"/>
      <c r="B33" s="165">
        <v>47485</v>
      </c>
      <c r="C33" s="166">
        <v>51740</v>
      </c>
      <c r="D33" s="169">
        <v>55</v>
      </c>
      <c r="E33" s="168">
        <v>2505194.95</v>
      </c>
      <c r="F33" s="169">
        <v>11.46</v>
      </c>
      <c r="G33" s="169">
        <v>11.46</v>
      </c>
      <c r="H33" s="169">
        <v>11.49</v>
      </c>
      <c r="I33" s="169">
        <v>11.47</v>
      </c>
      <c r="J33" s="169">
        <v>11.49</v>
      </c>
      <c r="K33" s="169">
        <v>11.47</v>
      </c>
      <c r="L33" s="169">
        <v>11.5</v>
      </c>
      <c r="M33" s="170">
        <f t="shared" si="0"/>
        <v>1825</v>
      </c>
      <c r="N33" s="6">
        <v>11.49</v>
      </c>
    </row>
    <row r="34" spans="1:14" ht="15.75" thickBot="1">
      <c r="A34" s="156"/>
      <c r="B34" s="165">
        <v>47850</v>
      </c>
      <c r="C34" s="166">
        <v>316363</v>
      </c>
      <c r="D34" s="167">
        <v>10040</v>
      </c>
      <c r="E34" s="168">
        <v>408642768.8</v>
      </c>
      <c r="F34" s="169">
        <v>11.65</v>
      </c>
      <c r="G34" s="169">
        <v>11.44</v>
      </c>
      <c r="H34" s="169">
        <v>11.65</v>
      </c>
      <c r="I34" s="169">
        <v>11.52</v>
      </c>
      <c r="J34" s="169">
        <v>11.53</v>
      </c>
      <c r="K34" s="169">
        <v>11.53</v>
      </c>
      <c r="L34" s="169">
        <v>11.54</v>
      </c>
      <c r="M34" s="170">
        <f t="shared" si="0"/>
        <v>2078</v>
      </c>
      <c r="N34" s="6">
        <v>11.56</v>
      </c>
    </row>
    <row r="35" spans="1:14" ht="15.75" thickBot="1">
      <c r="A35" s="156"/>
      <c r="B35" s="165">
        <v>48215</v>
      </c>
      <c r="C35" s="166">
        <v>19480</v>
      </c>
      <c r="D35" s="169">
        <v>5</v>
      </c>
      <c r="E35" s="168">
        <v>182069.25</v>
      </c>
      <c r="F35" s="169">
        <v>11.54</v>
      </c>
      <c r="G35" s="169">
        <v>11.54</v>
      </c>
      <c r="H35" s="169">
        <v>11.54</v>
      </c>
      <c r="I35" s="169">
        <v>11.54</v>
      </c>
      <c r="J35" s="169">
        <v>11.54</v>
      </c>
      <c r="K35" s="169">
        <v>11.53</v>
      </c>
      <c r="L35" s="169">
        <v>11.55</v>
      </c>
      <c r="M35" s="170">
        <f t="shared" si="0"/>
        <v>2331</v>
      </c>
      <c r="N35" s="6">
        <v>11.57</v>
      </c>
    </row>
    <row r="36" spans="1:14" ht="15.75" thickBot="1">
      <c r="A36" s="156"/>
      <c r="B36" s="165">
        <v>48582</v>
      </c>
      <c r="C36" s="166">
        <v>149729</v>
      </c>
      <c r="D36" s="167">
        <v>8275</v>
      </c>
      <c r="E36" s="168">
        <v>269404967</v>
      </c>
      <c r="F36" s="169">
        <v>11.48</v>
      </c>
      <c r="G36" s="169">
        <v>11.48</v>
      </c>
      <c r="H36" s="169">
        <v>11.61</v>
      </c>
      <c r="I36" s="169">
        <v>11.57</v>
      </c>
      <c r="J36" s="169">
        <v>11.56</v>
      </c>
      <c r="K36" s="169">
        <v>11.55</v>
      </c>
      <c r="L36" s="169">
        <v>11.57</v>
      </c>
      <c r="M36" s="170">
        <f t="shared" si="0"/>
        <v>2583</v>
      </c>
      <c r="N36" s="6">
        <v>11.6</v>
      </c>
    </row>
    <row r="37" spans="1:14" ht="15.75" thickBot="1">
      <c r="A37" s="157"/>
      <c r="B37" s="165">
        <v>48946</v>
      </c>
      <c r="C37" s="166">
        <v>1105</v>
      </c>
      <c r="D37" s="171"/>
      <c r="E37" s="172"/>
      <c r="F37" s="171"/>
      <c r="G37" s="171"/>
      <c r="H37" s="171"/>
      <c r="I37" s="171"/>
      <c r="J37" s="171"/>
      <c r="K37" s="171"/>
      <c r="L37" s="171"/>
      <c r="M37" s="170">
        <f t="shared" si="0"/>
        <v>2834</v>
      </c>
      <c r="N37" s="6">
        <v>11.62</v>
      </c>
    </row>
    <row r="38" spans="1:14" ht="15.75" thickBot="1">
      <c r="A38" s="157"/>
      <c r="B38" s="165">
        <v>49311</v>
      </c>
      <c r="C38" s="166">
        <v>2985</v>
      </c>
      <c r="D38" s="171"/>
      <c r="E38" s="172"/>
      <c r="F38" s="171"/>
      <c r="G38" s="171"/>
      <c r="H38" s="171"/>
      <c r="I38" s="171"/>
      <c r="J38" s="171"/>
      <c r="K38" s="171"/>
      <c r="L38" s="171"/>
      <c r="M38" s="170">
        <f t="shared" si="0"/>
        <v>3083</v>
      </c>
      <c r="N38" s="6">
        <v>11.62</v>
      </c>
    </row>
    <row r="39" spans="1:14" ht="15.75" thickBot="1">
      <c r="A39" s="157"/>
      <c r="B39" s="165">
        <v>49676</v>
      </c>
      <c r="C39" s="166">
        <v>20455</v>
      </c>
      <c r="D39" s="171"/>
      <c r="E39" s="172"/>
      <c r="F39" s="171"/>
      <c r="G39" s="171"/>
      <c r="H39" s="171"/>
      <c r="I39" s="171"/>
      <c r="J39" s="171"/>
      <c r="K39" s="171"/>
      <c r="L39" s="171"/>
      <c r="M39" s="170">
        <f t="shared" si="0"/>
        <v>3333</v>
      </c>
      <c r="N39" s="6">
        <v>11.64</v>
      </c>
    </row>
    <row r="40" spans="1:14" ht="15.75" thickBot="1">
      <c r="A40" s="157"/>
      <c r="B40" s="165">
        <v>50042</v>
      </c>
      <c r="C40" s="173">
        <v>800</v>
      </c>
      <c r="D40" s="171"/>
      <c r="E40" s="172"/>
      <c r="F40" s="171"/>
      <c r="G40" s="171"/>
      <c r="H40" s="171"/>
      <c r="I40" s="171"/>
      <c r="J40" s="171"/>
      <c r="K40" s="171"/>
      <c r="L40" s="171"/>
      <c r="M40" s="170">
        <f t="shared" si="0"/>
        <v>3587</v>
      </c>
      <c r="N40" s="6">
        <v>11.64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2"/>
  <dimension ref="A1:L62"/>
  <sheetViews>
    <sheetView zoomScalePageLayoutView="0" workbookViewId="0" topLeftCell="A1">
      <selection activeCell="A1" sqref="A1:L62"/>
    </sheetView>
  </sheetViews>
  <sheetFormatPr defaultColWidth="9.140625" defaultRowHeight="15"/>
  <cols>
    <col min="1" max="12" width="12.421875" style="24" customWidth="1"/>
    <col min="13" max="16384" width="9.140625" style="24" customWidth="1"/>
  </cols>
  <sheetData>
    <row r="1" spans="1:12" ht="15">
      <c r="A1" s="23">
        <v>39814</v>
      </c>
      <c r="B1" s="23">
        <v>39867</v>
      </c>
      <c r="C1" s="23">
        <v>39868</v>
      </c>
      <c r="D1" s="23">
        <v>39913</v>
      </c>
      <c r="E1" s="23">
        <v>39924</v>
      </c>
      <c r="F1" s="23">
        <v>39934</v>
      </c>
      <c r="G1" s="23">
        <v>39975</v>
      </c>
      <c r="H1" s="23">
        <v>40063</v>
      </c>
      <c r="I1" s="23">
        <v>40098</v>
      </c>
      <c r="J1" s="23">
        <v>40119</v>
      </c>
      <c r="K1" s="23">
        <v>40132</v>
      </c>
      <c r="L1" s="23">
        <v>40172</v>
      </c>
    </row>
    <row r="2" spans="1:12" ht="15">
      <c r="A2" s="23">
        <v>40179</v>
      </c>
      <c r="B2" s="23">
        <v>40224</v>
      </c>
      <c r="C2" s="23">
        <v>40225</v>
      </c>
      <c r="D2" s="23">
        <v>40270</v>
      </c>
      <c r="E2" s="23">
        <v>40289</v>
      </c>
      <c r="F2" s="23">
        <v>40299</v>
      </c>
      <c r="G2" s="23">
        <v>40332</v>
      </c>
      <c r="H2" s="23">
        <v>40428</v>
      </c>
      <c r="I2" s="23">
        <v>40463</v>
      </c>
      <c r="J2" s="23">
        <v>40484</v>
      </c>
      <c r="K2" s="23">
        <v>40497</v>
      </c>
      <c r="L2" s="23">
        <v>40537</v>
      </c>
    </row>
    <row r="3" spans="1:12" ht="15">
      <c r="A3" s="23">
        <v>40544</v>
      </c>
      <c r="B3" s="23">
        <v>40609</v>
      </c>
      <c r="C3" s="23">
        <v>40610</v>
      </c>
      <c r="D3" s="23">
        <v>40654</v>
      </c>
      <c r="E3" s="23">
        <v>40655</v>
      </c>
      <c r="F3" s="23">
        <v>40664</v>
      </c>
      <c r="G3" s="23">
        <v>40717</v>
      </c>
      <c r="H3" s="23">
        <v>40793</v>
      </c>
      <c r="I3" s="23">
        <v>40828</v>
      </c>
      <c r="J3" s="23">
        <v>40849</v>
      </c>
      <c r="K3" s="23">
        <v>40862</v>
      </c>
      <c r="L3" s="23">
        <v>40902</v>
      </c>
    </row>
    <row r="4" spans="1:12" ht="15">
      <c r="A4" s="23">
        <v>40909</v>
      </c>
      <c r="B4" s="23">
        <v>40959</v>
      </c>
      <c r="C4" s="23">
        <v>40960</v>
      </c>
      <c r="D4" s="23">
        <v>41005</v>
      </c>
      <c r="E4" s="23">
        <v>41020</v>
      </c>
      <c r="F4" s="23">
        <v>41030</v>
      </c>
      <c r="G4" s="23">
        <v>41067</v>
      </c>
      <c r="H4" s="23">
        <v>41159</v>
      </c>
      <c r="I4" s="23">
        <v>41194</v>
      </c>
      <c r="J4" s="23">
        <v>41215</v>
      </c>
      <c r="K4" s="23">
        <v>41228</v>
      </c>
      <c r="L4" s="23">
        <v>41268</v>
      </c>
    </row>
    <row r="5" spans="1:12" ht="15">
      <c r="A5" s="23">
        <v>41275</v>
      </c>
      <c r="B5" s="23">
        <v>41316</v>
      </c>
      <c r="C5" s="23">
        <v>41317</v>
      </c>
      <c r="D5" s="23">
        <v>41362</v>
      </c>
      <c r="E5" s="23">
        <v>41385</v>
      </c>
      <c r="F5" s="23">
        <v>41395</v>
      </c>
      <c r="G5" s="23">
        <v>41424</v>
      </c>
      <c r="H5" s="23">
        <v>41524</v>
      </c>
      <c r="I5" s="23">
        <v>41559</v>
      </c>
      <c r="J5" s="23">
        <v>41580</v>
      </c>
      <c r="K5" s="23">
        <v>41593</v>
      </c>
      <c r="L5" s="23">
        <v>41633</v>
      </c>
    </row>
    <row r="6" spans="1:12" ht="15">
      <c r="A6" s="23">
        <v>41640</v>
      </c>
      <c r="B6" s="23">
        <v>41701</v>
      </c>
      <c r="C6" s="23">
        <v>41702</v>
      </c>
      <c r="D6" s="23">
        <v>41747</v>
      </c>
      <c r="E6" s="23">
        <v>41750</v>
      </c>
      <c r="F6" s="23">
        <v>41760</v>
      </c>
      <c r="G6" s="23">
        <v>41809</v>
      </c>
      <c r="H6" s="23">
        <v>41889</v>
      </c>
      <c r="I6" s="23">
        <v>41924</v>
      </c>
      <c r="J6" s="23">
        <v>41945</v>
      </c>
      <c r="K6" s="23">
        <v>41958</v>
      </c>
      <c r="L6" s="23">
        <v>41998</v>
      </c>
    </row>
    <row r="7" spans="1:12" ht="15">
      <c r="A7" s="23">
        <v>42005</v>
      </c>
      <c r="B7" s="23">
        <v>42051</v>
      </c>
      <c r="C7" s="23">
        <v>42052</v>
      </c>
      <c r="D7" s="23">
        <v>42097</v>
      </c>
      <c r="E7" s="23">
        <v>42115</v>
      </c>
      <c r="F7" s="23">
        <v>42125</v>
      </c>
      <c r="G7" s="23">
        <v>42159</v>
      </c>
      <c r="H7" s="23">
        <v>42254</v>
      </c>
      <c r="I7" s="23">
        <v>42289</v>
      </c>
      <c r="J7" s="23">
        <v>42310</v>
      </c>
      <c r="K7" s="23">
        <v>42323</v>
      </c>
      <c r="L7" s="23">
        <v>42363</v>
      </c>
    </row>
    <row r="8" spans="1:12" ht="15">
      <c r="A8" s="23">
        <v>42370</v>
      </c>
      <c r="B8" s="23">
        <v>42408</v>
      </c>
      <c r="C8" s="23">
        <v>42409</v>
      </c>
      <c r="D8" s="23">
        <v>42454</v>
      </c>
      <c r="E8" s="23">
        <v>42481</v>
      </c>
      <c r="F8" s="23">
        <v>42491</v>
      </c>
      <c r="G8" s="23">
        <v>42516</v>
      </c>
      <c r="H8" s="23">
        <v>42620</v>
      </c>
      <c r="I8" s="23">
        <v>42655</v>
      </c>
      <c r="J8" s="23">
        <v>42676</v>
      </c>
      <c r="K8" s="23">
        <v>42689</v>
      </c>
      <c r="L8" s="23">
        <v>42729</v>
      </c>
    </row>
    <row r="9" spans="1:12" ht="15">
      <c r="A9" s="23">
        <v>42736</v>
      </c>
      <c r="B9" s="23">
        <v>42793</v>
      </c>
      <c r="C9" s="23">
        <v>42794</v>
      </c>
      <c r="D9" s="23">
        <v>42839</v>
      </c>
      <c r="E9" s="23">
        <v>42846</v>
      </c>
      <c r="F9" s="23">
        <v>42856</v>
      </c>
      <c r="G9" s="23">
        <v>42901</v>
      </c>
      <c r="H9" s="23">
        <v>42985</v>
      </c>
      <c r="I9" s="23">
        <v>43020</v>
      </c>
      <c r="J9" s="23">
        <v>43041</v>
      </c>
      <c r="K9" s="23">
        <v>43054</v>
      </c>
      <c r="L9" s="23">
        <v>43094</v>
      </c>
    </row>
    <row r="10" spans="1:12" ht="15">
      <c r="A10" s="23">
        <v>43101</v>
      </c>
      <c r="B10" s="23">
        <v>43143</v>
      </c>
      <c r="C10" s="23">
        <v>43144</v>
      </c>
      <c r="D10" s="23">
        <v>43189</v>
      </c>
      <c r="E10" s="23">
        <v>43211</v>
      </c>
      <c r="F10" s="23">
        <v>43221</v>
      </c>
      <c r="G10" s="23">
        <v>43251</v>
      </c>
      <c r="H10" s="23">
        <v>43350</v>
      </c>
      <c r="I10" s="23">
        <v>43385</v>
      </c>
      <c r="J10" s="23">
        <v>43406</v>
      </c>
      <c r="K10" s="23">
        <v>43419</v>
      </c>
      <c r="L10" s="23">
        <v>43459</v>
      </c>
    </row>
    <row r="11" spans="1:12" ht="15">
      <c r="A11" s="23">
        <v>43466</v>
      </c>
      <c r="B11" s="23">
        <v>43528</v>
      </c>
      <c r="C11" s="23">
        <v>43529</v>
      </c>
      <c r="D11" s="23">
        <v>43574</v>
      </c>
      <c r="E11" s="23">
        <v>43576</v>
      </c>
      <c r="F11" s="23">
        <v>43586</v>
      </c>
      <c r="G11" s="23">
        <v>43636</v>
      </c>
      <c r="H11" s="23">
        <v>43715</v>
      </c>
      <c r="I11" s="23">
        <v>43750</v>
      </c>
      <c r="J11" s="23">
        <v>43771</v>
      </c>
      <c r="K11" s="23">
        <v>43784</v>
      </c>
      <c r="L11" s="23">
        <v>43824</v>
      </c>
    </row>
    <row r="12" spans="1:12" ht="15">
      <c r="A12" s="23">
        <v>43831</v>
      </c>
      <c r="B12" s="23">
        <v>43885</v>
      </c>
      <c r="C12" s="23">
        <v>43886</v>
      </c>
      <c r="D12" s="23">
        <v>43931</v>
      </c>
      <c r="E12" s="23">
        <v>43942</v>
      </c>
      <c r="F12" s="23">
        <v>43952</v>
      </c>
      <c r="G12" s="23">
        <v>43993</v>
      </c>
      <c r="H12" s="23">
        <v>44081</v>
      </c>
      <c r="I12" s="23">
        <v>44116</v>
      </c>
      <c r="J12" s="23">
        <v>44137</v>
      </c>
      <c r="K12" s="23">
        <v>44150</v>
      </c>
      <c r="L12" s="23">
        <v>44190</v>
      </c>
    </row>
    <row r="13" spans="1:12" ht="15">
      <c r="A13" s="23">
        <v>44197</v>
      </c>
      <c r="B13" s="23">
        <v>44242</v>
      </c>
      <c r="C13" s="23">
        <v>44243</v>
      </c>
      <c r="D13" s="23">
        <v>44288</v>
      </c>
      <c r="E13" s="23">
        <v>44307</v>
      </c>
      <c r="F13" s="23">
        <v>44317</v>
      </c>
      <c r="G13" s="23">
        <v>44350</v>
      </c>
      <c r="H13" s="23">
        <v>44446</v>
      </c>
      <c r="I13" s="23">
        <v>44481</v>
      </c>
      <c r="J13" s="23">
        <v>44502</v>
      </c>
      <c r="K13" s="23">
        <v>44515</v>
      </c>
      <c r="L13" s="23">
        <v>44555</v>
      </c>
    </row>
    <row r="14" spans="1:12" ht="15">
      <c r="A14" s="23">
        <v>44562</v>
      </c>
      <c r="B14" s="23">
        <v>44620</v>
      </c>
      <c r="C14" s="23">
        <v>44621</v>
      </c>
      <c r="D14" s="23">
        <v>44666</v>
      </c>
      <c r="E14" s="23">
        <v>44672</v>
      </c>
      <c r="F14" s="23">
        <v>44682</v>
      </c>
      <c r="G14" s="23">
        <v>44728</v>
      </c>
      <c r="H14" s="23">
        <v>44811</v>
      </c>
      <c r="I14" s="23">
        <v>44846</v>
      </c>
      <c r="J14" s="23">
        <v>44867</v>
      </c>
      <c r="K14" s="23">
        <v>44880</v>
      </c>
      <c r="L14" s="23">
        <v>44920</v>
      </c>
    </row>
    <row r="15" spans="1:12" ht="15">
      <c r="A15" s="23">
        <v>44927</v>
      </c>
      <c r="B15" s="23">
        <v>44977</v>
      </c>
      <c r="C15" s="23">
        <v>44978</v>
      </c>
      <c r="D15" s="23">
        <v>45023</v>
      </c>
      <c r="E15" s="23">
        <v>45037</v>
      </c>
      <c r="F15" s="23">
        <v>45047</v>
      </c>
      <c r="G15" s="23">
        <v>45085</v>
      </c>
      <c r="H15" s="23">
        <v>45176</v>
      </c>
      <c r="I15" s="23">
        <v>45211</v>
      </c>
      <c r="J15" s="23">
        <v>45232</v>
      </c>
      <c r="K15" s="23">
        <v>45245</v>
      </c>
      <c r="L15" s="23">
        <v>45285</v>
      </c>
    </row>
    <row r="16" spans="1:12" ht="15">
      <c r="A16" s="23">
        <v>45292</v>
      </c>
      <c r="B16" s="23">
        <v>45334</v>
      </c>
      <c r="C16" s="23">
        <v>45335</v>
      </c>
      <c r="D16" s="23">
        <v>45380</v>
      </c>
      <c r="E16" s="23">
        <v>45403</v>
      </c>
      <c r="F16" s="23">
        <v>45413</v>
      </c>
      <c r="G16" s="23">
        <v>45442</v>
      </c>
      <c r="H16" s="23">
        <v>45542</v>
      </c>
      <c r="I16" s="23">
        <v>45577</v>
      </c>
      <c r="J16" s="23">
        <v>45598</v>
      </c>
      <c r="K16" s="23">
        <v>45611</v>
      </c>
      <c r="L16" s="23">
        <v>45651</v>
      </c>
    </row>
    <row r="17" spans="1:12" ht="15">
      <c r="A17" s="23">
        <v>45658</v>
      </c>
      <c r="B17" s="23">
        <v>45719</v>
      </c>
      <c r="C17" s="23">
        <v>45720</v>
      </c>
      <c r="D17" s="23">
        <v>45765</v>
      </c>
      <c r="E17" s="23">
        <v>45768</v>
      </c>
      <c r="F17" s="23">
        <v>45778</v>
      </c>
      <c r="G17" s="23">
        <v>45827</v>
      </c>
      <c r="H17" s="23">
        <v>45907</v>
      </c>
      <c r="I17" s="23">
        <v>45942</v>
      </c>
      <c r="J17" s="23">
        <v>45963</v>
      </c>
      <c r="K17" s="23">
        <v>45976</v>
      </c>
      <c r="L17" s="23">
        <v>46016</v>
      </c>
    </row>
    <row r="18" spans="1:12" ht="15">
      <c r="A18" s="23">
        <v>46023</v>
      </c>
      <c r="B18" s="23">
        <v>46069</v>
      </c>
      <c r="C18" s="23">
        <v>46070</v>
      </c>
      <c r="D18" s="23">
        <v>46115</v>
      </c>
      <c r="E18" s="23">
        <v>46133</v>
      </c>
      <c r="F18" s="23">
        <v>46143</v>
      </c>
      <c r="G18" s="23">
        <v>46177</v>
      </c>
      <c r="H18" s="23">
        <v>46272</v>
      </c>
      <c r="I18" s="23">
        <v>46307</v>
      </c>
      <c r="J18" s="23">
        <v>46328</v>
      </c>
      <c r="K18" s="23">
        <v>46341</v>
      </c>
      <c r="L18" s="23">
        <v>46381</v>
      </c>
    </row>
    <row r="19" spans="1:12" ht="15">
      <c r="A19" s="23">
        <v>46388</v>
      </c>
      <c r="B19" s="23">
        <v>46426</v>
      </c>
      <c r="C19" s="23">
        <v>46427</v>
      </c>
      <c r="D19" s="23">
        <v>46472</v>
      </c>
      <c r="E19" s="23">
        <v>46498</v>
      </c>
      <c r="F19" s="23">
        <v>46508</v>
      </c>
      <c r="G19" s="23">
        <v>46534</v>
      </c>
      <c r="H19" s="23">
        <v>46637</v>
      </c>
      <c r="I19" s="23">
        <v>46672</v>
      </c>
      <c r="J19" s="23">
        <v>46693</v>
      </c>
      <c r="K19" s="23">
        <v>46706</v>
      </c>
      <c r="L19" s="23">
        <v>46746</v>
      </c>
    </row>
    <row r="20" spans="1:12" ht="15">
      <c r="A20" s="23">
        <v>46753</v>
      </c>
      <c r="B20" s="23">
        <v>46811</v>
      </c>
      <c r="C20" s="23">
        <v>46812</v>
      </c>
      <c r="D20" s="23">
        <v>46857</v>
      </c>
      <c r="E20" s="23">
        <v>46864</v>
      </c>
      <c r="F20" s="23">
        <v>46874</v>
      </c>
      <c r="G20" s="23">
        <v>46919</v>
      </c>
      <c r="H20" s="23">
        <v>47003</v>
      </c>
      <c r="I20" s="23">
        <v>47038</v>
      </c>
      <c r="J20" s="23">
        <v>47059</v>
      </c>
      <c r="K20" s="23">
        <v>47072</v>
      </c>
      <c r="L20" s="23">
        <v>47112</v>
      </c>
    </row>
    <row r="21" spans="1:12" ht="15">
      <c r="A21" s="23">
        <v>47119</v>
      </c>
      <c r="B21" s="23">
        <v>47161</v>
      </c>
      <c r="C21" s="23">
        <v>47162</v>
      </c>
      <c r="D21" s="23">
        <v>47207</v>
      </c>
      <c r="E21" s="23">
        <v>47229</v>
      </c>
      <c r="F21" s="23">
        <v>47239</v>
      </c>
      <c r="G21" s="23">
        <v>47269</v>
      </c>
      <c r="H21" s="23">
        <v>47368</v>
      </c>
      <c r="I21" s="23">
        <v>47403</v>
      </c>
      <c r="J21" s="23">
        <v>47424</v>
      </c>
      <c r="K21" s="23">
        <v>47437</v>
      </c>
      <c r="L21" s="23">
        <v>47477</v>
      </c>
    </row>
    <row r="22" spans="1:12" ht="15">
      <c r="A22" s="23">
        <v>47484</v>
      </c>
      <c r="B22" s="23">
        <v>47546</v>
      </c>
      <c r="C22" s="23">
        <v>47547</v>
      </c>
      <c r="D22" s="23">
        <v>47592</v>
      </c>
      <c r="E22" s="23">
        <v>47594</v>
      </c>
      <c r="F22" s="23">
        <v>47604</v>
      </c>
      <c r="G22" s="23">
        <v>47654</v>
      </c>
      <c r="H22" s="23">
        <v>47733</v>
      </c>
      <c r="I22" s="23">
        <v>47768</v>
      </c>
      <c r="J22" s="23">
        <v>47789</v>
      </c>
      <c r="K22" s="23">
        <v>47802</v>
      </c>
      <c r="L22" s="23">
        <v>47842</v>
      </c>
    </row>
    <row r="23" spans="1:12" ht="15">
      <c r="A23" s="23">
        <v>47849</v>
      </c>
      <c r="B23" s="23">
        <v>47903</v>
      </c>
      <c r="C23" s="23">
        <v>47904</v>
      </c>
      <c r="D23" s="23">
        <v>47949</v>
      </c>
      <c r="E23" s="23">
        <v>47959</v>
      </c>
      <c r="F23" s="23">
        <v>47969</v>
      </c>
      <c r="G23" s="23">
        <v>48011</v>
      </c>
      <c r="H23" s="23">
        <v>48098</v>
      </c>
      <c r="I23" s="23">
        <v>48133</v>
      </c>
      <c r="J23" s="23">
        <v>48154</v>
      </c>
      <c r="K23" s="23">
        <v>48167</v>
      </c>
      <c r="L23" s="23">
        <v>48207</v>
      </c>
    </row>
    <row r="24" spans="1:12" ht="15">
      <c r="A24" s="23">
        <v>48214</v>
      </c>
      <c r="B24" s="23">
        <v>48253</v>
      </c>
      <c r="C24" s="23">
        <v>48254</v>
      </c>
      <c r="D24" s="23">
        <v>48299</v>
      </c>
      <c r="E24" s="23">
        <v>48325</v>
      </c>
      <c r="F24" s="23">
        <v>48335</v>
      </c>
      <c r="G24" s="23">
        <v>48361</v>
      </c>
      <c r="H24" s="23">
        <v>48464</v>
      </c>
      <c r="I24" s="23">
        <v>48499</v>
      </c>
      <c r="J24" s="23">
        <v>48520</v>
      </c>
      <c r="K24" s="23">
        <v>48533</v>
      </c>
      <c r="L24" s="23">
        <v>48573</v>
      </c>
    </row>
    <row r="25" spans="1:12" ht="15">
      <c r="A25" s="23">
        <v>48580</v>
      </c>
      <c r="B25" s="23">
        <v>48638</v>
      </c>
      <c r="C25" s="23">
        <v>48639</v>
      </c>
      <c r="D25" s="23">
        <v>48684</v>
      </c>
      <c r="E25" s="23">
        <v>48690</v>
      </c>
      <c r="F25" s="23">
        <v>48700</v>
      </c>
      <c r="G25" s="23">
        <v>48746</v>
      </c>
      <c r="H25" s="23">
        <v>48829</v>
      </c>
      <c r="I25" s="23">
        <v>48864</v>
      </c>
      <c r="J25" s="23">
        <v>48885</v>
      </c>
      <c r="K25" s="23">
        <v>48898</v>
      </c>
      <c r="L25" s="23">
        <v>48938</v>
      </c>
    </row>
    <row r="26" spans="1:12" ht="15">
      <c r="A26" s="23">
        <v>48945</v>
      </c>
      <c r="B26" s="23">
        <v>48995</v>
      </c>
      <c r="C26" s="23">
        <v>48996</v>
      </c>
      <c r="D26" s="23">
        <v>49041</v>
      </c>
      <c r="E26" s="23">
        <v>49055</v>
      </c>
      <c r="F26" s="23">
        <v>49065</v>
      </c>
      <c r="G26" s="23">
        <v>49103</v>
      </c>
      <c r="H26" s="23">
        <v>49194</v>
      </c>
      <c r="I26" s="23">
        <v>49229</v>
      </c>
      <c r="J26" s="23">
        <v>49250</v>
      </c>
      <c r="K26" s="23">
        <v>49263</v>
      </c>
      <c r="L26" s="23">
        <v>49303</v>
      </c>
    </row>
    <row r="27" spans="1:12" ht="15">
      <c r="A27" s="23">
        <v>49310</v>
      </c>
      <c r="B27" s="23">
        <v>49345</v>
      </c>
      <c r="C27" s="23">
        <v>49346</v>
      </c>
      <c r="D27" s="23">
        <v>49391</v>
      </c>
      <c r="E27" s="23">
        <v>49420</v>
      </c>
      <c r="F27" s="23">
        <v>49430</v>
      </c>
      <c r="G27" s="23">
        <v>49453</v>
      </c>
      <c r="H27" s="23">
        <v>49559</v>
      </c>
      <c r="I27" s="23">
        <v>49594</v>
      </c>
      <c r="J27" s="23">
        <v>49615</v>
      </c>
      <c r="K27" s="23">
        <v>49628</v>
      </c>
      <c r="L27" s="23">
        <v>49668</v>
      </c>
    </row>
    <row r="28" spans="1:12" ht="15">
      <c r="A28" s="23">
        <v>49675</v>
      </c>
      <c r="B28" s="23">
        <v>49730</v>
      </c>
      <c r="C28" s="23">
        <v>49731</v>
      </c>
      <c r="D28" s="23">
        <v>49776</v>
      </c>
      <c r="E28" s="23">
        <v>49786</v>
      </c>
      <c r="F28" s="23">
        <v>49796</v>
      </c>
      <c r="G28" s="23">
        <v>49838</v>
      </c>
      <c r="H28" s="23">
        <v>49925</v>
      </c>
      <c r="I28" s="23">
        <v>49960</v>
      </c>
      <c r="J28" s="23">
        <v>49981</v>
      </c>
      <c r="K28" s="23">
        <v>49994</v>
      </c>
      <c r="L28" s="23">
        <v>50034</v>
      </c>
    </row>
    <row r="29" spans="1:12" ht="15">
      <c r="A29" s="23">
        <v>50041</v>
      </c>
      <c r="B29" s="23">
        <v>50087</v>
      </c>
      <c r="C29" s="23">
        <v>50088</v>
      </c>
      <c r="D29" s="23">
        <v>50133</v>
      </c>
      <c r="E29" s="23">
        <v>50151</v>
      </c>
      <c r="F29" s="23">
        <v>50161</v>
      </c>
      <c r="G29" s="23">
        <v>50195</v>
      </c>
      <c r="H29" s="23">
        <v>50290</v>
      </c>
      <c r="I29" s="23">
        <v>50325</v>
      </c>
      <c r="J29" s="23">
        <v>50346</v>
      </c>
      <c r="K29" s="23">
        <v>50359</v>
      </c>
      <c r="L29" s="23">
        <v>50399</v>
      </c>
    </row>
    <row r="30" spans="1:12" ht="15">
      <c r="A30" s="23">
        <v>50406</v>
      </c>
      <c r="B30" s="23">
        <v>50472</v>
      </c>
      <c r="C30" s="23">
        <v>50473</v>
      </c>
      <c r="D30" s="23">
        <v>50516</v>
      </c>
      <c r="E30" s="23">
        <v>50518</v>
      </c>
      <c r="F30" s="23">
        <v>50526</v>
      </c>
      <c r="G30" s="23">
        <v>50580</v>
      </c>
      <c r="H30" s="23">
        <v>50655</v>
      </c>
      <c r="I30" s="23">
        <v>50690</v>
      </c>
      <c r="J30" s="23">
        <v>50711</v>
      </c>
      <c r="K30" s="23">
        <v>50724</v>
      </c>
      <c r="L30" s="23">
        <v>50764</v>
      </c>
    </row>
    <row r="31" spans="1:12" ht="15">
      <c r="A31" s="23">
        <v>50771</v>
      </c>
      <c r="B31" s="23">
        <v>50822</v>
      </c>
      <c r="C31" s="23">
        <v>50823</v>
      </c>
      <c r="D31" s="23">
        <v>50868</v>
      </c>
      <c r="E31" s="23">
        <v>50881</v>
      </c>
      <c r="F31" s="23">
        <v>50891</v>
      </c>
      <c r="G31" s="23">
        <v>50930</v>
      </c>
      <c r="H31" s="23">
        <v>51020</v>
      </c>
      <c r="I31" s="23">
        <v>51055</v>
      </c>
      <c r="J31" s="23">
        <v>51076</v>
      </c>
      <c r="K31" s="23">
        <v>51089</v>
      </c>
      <c r="L31" s="23">
        <v>51129</v>
      </c>
    </row>
    <row r="32" spans="1:12" ht="15">
      <c r="A32" s="23">
        <v>51136</v>
      </c>
      <c r="B32" s="23">
        <v>51179</v>
      </c>
      <c r="C32" s="23">
        <v>51180</v>
      </c>
      <c r="D32" s="23">
        <v>51225</v>
      </c>
      <c r="E32" s="23">
        <v>51247</v>
      </c>
      <c r="F32" s="23">
        <v>51257</v>
      </c>
      <c r="G32" s="23">
        <v>51287</v>
      </c>
      <c r="H32" s="23">
        <v>51386</v>
      </c>
      <c r="I32" s="23">
        <v>51421</v>
      </c>
      <c r="J32" s="23">
        <v>51442</v>
      </c>
      <c r="K32" s="23">
        <v>51455</v>
      </c>
      <c r="L32" s="23">
        <v>51495</v>
      </c>
    </row>
    <row r="33" spans="1:12" ht="15">
      <c r="A33" s="23">
        <v>51502</v>
      </c>
      <c r="B33" s="23">
        <v>51564</v>
      </c>
      <c r="C33" s="23">
        <v>51565</v>
      </c>
      <c r="D33" s="23">
        <v>51610</v>
      </c>
      <c r="E33" s="23">
        <v>51612</v>
      </c>
      <c r="F33" s="23">
        <v>51622</v>
      </c>
      <c r="G33" s="23">
        <v>51672</v>
      </c>
      <c r="H33" s="23">
        <v>51751</v>
      </c>
      <c r="I33" s="23">
        <v>51786</v>
      </c>
      <c r="J33" s="23">
        <v>51807</v>
      </c>
      <c r="K33" s="23">
        <v>51820</v>
      </c>
      <c r="L33" s="23">
        <v>51860</v>
      </c>
    </row>
    <row r="34" spans="1:12" ht="15">
      <c r="A34" s="23">
        <v>51867</v>
      </c>
      <c r="B34" s="23">
        <v>51914</v>
      </c>
      <c r="C34" s="23">
        <v>51915</v>
      </c>
      <c r="D34" s="23">
        <v>51960</v>
      </c>
      <c r="E34" s="23">
        <v>51977</v>
      </c>
      <c r="F34" s="23">
        <v>51987</v>
      </c>
      <c r="G34" s="23">
        <v>52022</v>
      </c>
      <c r="H34" s="23">
        <v>52116</v>
      </c>
      <c r="I34" s="23">
        <v>52151</v>
      </c>
      <c r="J34" s="23">
        <v>52172</v>
      </c>
      <c r="K34" s="23">
        <v>52185</v>
      </c>
      <c r="L34" s="23">
        <v>52225</v>
      </c>
    </row>
    <row r="35" spans="1:12" ht="15">
      <c r="A35" s="23">
        <v>52232</v>
      </c>
      <c r="B35" s="23">
        <v>52271</v>
      </c>
      <c r="C35" s="23">
        <v>52272</v>
      </c>
      <c r="D35" s="23">
        <v>52317</v>
      </c>
      <c r="E35" s="23">
        <v>52342</v>
      </c>
      <c r="F35" s="23">
        <v>52352</v>
      </c>
      <c r="G35" s="23">
        <v>52379</v>
      </c>
      <c r="H35" s="23">
        <v>52481</v>
      </c>
      <c r="I35" s="23">
        <v>52516</v>
      </c>
      <c r="J35" s="23">
        <v>52537</v>
      </c>
      <c r="K35" s="23">
        <v>52550</v>
      </c>
      <c r="L35" s="23">
        <v>52590</v>
      </c>
    </row>
    <row r="36" spans="1:12" ht="15">
      <c r="A36" s="23">
        <v>52597</v>
      </c>
      <c r="B36" s="23">
        <v>52656</v>
      </c>
      <c r="C36" s="23">
        <v>52657</v>
      </c>
      <c r="D36" s="23">
        <v>52702</v>
      </c>
      <c r="E36" s="23">
        <v>52708</v>
      </c>
      <c r="F36" s="23">
        <v>52718</v>
      </c>
      <c r="G36" s="23">
        <v>52764</v>
      </c>
      <c r="H36" s="23">
        <v>52847</v>
      </c>
      <c r="I36" s="23">
        <v>52882</v>
      </c>
      <c r="J36" s="23">
        <v>52903</v>
      </c>
      <c r="K36" s="23">
        <v>52916</v>
      </c>
      <c r="L36" s="23">
        <v>52956</v>
      </c>
    </row>
    <row r="37" spans="1:12" ht="15">
      <c r="A37" s="23">
        <v>52963</v>
      </c>
      <c r="B37" s="23">
        <v>53013</v>
      </c>
      <c r="C37" s="23">
        <v>53014</v>
      </c>
      <c r="D37" s="23">
        <v>53059</v>
      </c>
      <c r="E37" s="23">
        <v>53073</v>
      </c>
      <c r="F37" s="23">
        <v>53083</v>
      </c>
      <c r="G37" s="23">
        <v>53121</v>
      </c>
      <c r="H37" s="23">
        <v>53212</v>
      </c>
      <c r="I37" s="23">
        <v>53247</v>
      </c>
      <c r="J37" s="23">
        <v>53268</v>
      </c>
      <c r="K37" s="23">
        <v>53281</v>
      </c>
      <c r="L37" s="23">
        <v>53321</v>
      </c>
    </row>
    <row r="38" spans="1:12" ht="15">
      <c r="A38" s="23">
        <v>53328</v>
      </c>
      <c r="B38" s="23">
        <v>53363</v>
      </c>
      <c r="C38" s="23">
        <v>53364</v>
      </c>
      <c r="D38" s="23">
        <v>53409</v>
      </c>
      <c r="E38" s="23">
        <v>53438</v>
      </c>
      <c r="F38" s="23">
        <v>53448</v>
      </c>
      <c r="G38" s="23">
        <v>53471</v>
      </c>
      <c r="H38" s="23">
        <v>53577</v>
      </c>
      <c r="I38" s="23">
        <v>53612</v>
      </c>
      <c r="J38" s="23">
        <v>53633</v>
      </c>
      <c r="K38" s="23">
        <v>53646</v>
      </c>
      <c r="L38" s="23">
        <v>53686</v>
      </c>
    </row>
    <row r="39" spans="1:12" ht="15">
      <c r="A39" s="23">
        <v>53693</v>
      </c>
      <c r="B39" s="23">
        <v>53748</v>
      </c>
      <c r="C39" s="23">
        <v>53749</v>
      </c>
      <c r="D39" s="23">
        <v>53794</v>
      </c>
      <c r="E39" s="23">
        <v>53803</v>
      </c>
      <c r="F39" s="23">
        <v>53813</v>
      </c>
      <c r="G39" s="23">
        <v>53856</v>
      </c>
      <c r="H39" s="23">
        <v>53942</v>
      </c>
      <c r="I39" s="23">
        <v>53977</v>
      </c>
      <c r="J39" s="23">
        <v>53998</v>
      </c>
      <c r="K39" s="23">
        <v>54011</v>
      </c>
      <c r="L39" s="23">
        <v>54051</v>
      </c>
    </row>
    <row r="40" spans="1:12" ht="15">
      <c r="A40" s="23">
        <v>54058</v>
      </c>
      <c r="B40" s="23">
        <v>54105</v>
      </c>
      <c r="C40" s="23">
        <v>54106</v>
      </c>
      <c r="D40" s="23">
        <v>54151</v>
      </c>
      <c r="E40" s="23">
        <v>54169</v>
      </c>
      <c r="F40" s="23">
        <v>54179</v>
      </c>
      <c r="G40" s="23">
        <v>54213</v>
      </c>
      <c r="H40" s="23">
        <v>54308</v>
      </c>
      <c r="I40" s="23">
        <v>54343</v>
      </c>
      <c r="J40" s="23">
        <v>54364</v>
      </c>
      <c r="K40" s="23">
        <v>54377</v>
      </c>
      <c r="L40" s="23">
        <v>54417</v>
      </c>
    </row>
    <row r="41" spans="1:12" ht="15">
      <c r="A41" s="23">
        <v>54424</v>
      </c>
      <c r="B41" s="23">
        <v>54483</v>
      </c>
      <c r="C41" s="23">
        <v>54484</v>
      </c>
      <c r="D41" s="23">
        <v>54529</v>
      </c>
      <c r="E41" s="23">
        <v>54534</v>
      </c>
      <c r="F41" s="23">
        <v>54544</v>
      </c>
      <c r="G41" s="23">
        <v>54591</v>
      </c>
      <c r="H41" s="23">
        <v>54673</v>
      </c>
      <c r="I41" s="23">
        <v>54708</v>
      </c>
      <c r="J41" s="23">
        <v>54729</v>
      </c>
      <c r="K41" s="23">
        <v>54742</v>
      </c>
      <c r="L41" s="23">
        <v>54782</v>
      </c>
    </row>
    <row r="42" spans="1:12" ht="15">
      <c r="A42" s="23">
        <v>54789</v>
      </c>
      <c r="B42" s="23">
        <v>54840</v>
      </c>
      <c r="C42" s="23">
        <v>54841</v>
      </c>
      <c r="D42" s="23">
        <v>54886</v>
      </c>
      <c r="E42" s="23">
        <v>54899</v>
      </c>
      <c r="F42" s="23">
        <v>54909</v>
      </c>
      <c r="G42" s="23">
        <v>54948</v>
      </c>
      <c r="H42" s="23">
        <v>55038</v>
      </c>
      <c r="I42" s="23">
        <v>55073</v>
      </c>
      <c r="J42" s="23">
        <v>55094</v>
      </c>
      <c r="K42" s="23">
        <v>55107</v>
      </c>
      <c r="L42" s="23">
        <v>55147</v>
      </c>
    </row>
    <row r="43" spans="1:12" ht="15">
      <c r="A43" s="23">
        <v>55154</v>
      </c>
      <c r="B43" s="23">
        <v>55197</v>
      </c>
      <c r="C43" s="23">
        <v>55198</v>
      </c>
      <c r="D43" s="23">
        <v>55243</v>
      </c>
      <c r="E43" s="23">
        <v>55264</v>
      </c>
      <c r="F43" s="23">
        <v>55274</v>
      </c>
      <c r="G43" s="23">
        <v>55305</v>
      </c>
      <c r="H43" s="23">
        <v>55403</v>
      </c>
      <c r="I43" s="23">
        <v>55438</v>
      </c>
      <c r="J43" s="23">
        <v>55459</v>
      </c>
      <c r="K43" s="23">
        <v>55472</v>
      </c>
      <c r="L43" s="23">
        <v>55512</v>
      </c>
    </row>
    <row r="44" spans="1:12" ht="15">
      <c r="A44" s="23">
        <v>55519</v>
      </c>
      <c r="B44" s="23">
        <v>55582</v>
      </c>
      <c r="C44" s="23">
        <v>55583</v>
      </c>
      <c r="D44" s="23">
        <v>55628</v>
      </c>
      <c r="E44" s="23">
        <v>55630</v>
      </c>
      <c r="F44" s="23">
        <v>55640</v>
      </c>
      <c r="G44" s="23">
        <v>55690</v>
      </c>
      <c r="H44" s="23">
        <v>55769</v>
      </c>
      <c r="I44" s="23">
        <v>55804</v>
      </c>
      <c r="J44" s="23">
        <v>55825</v>
      </c>
      <c r="K44" s="23">
        <v>55838</v>
      </c>
      <c r="L44" s="23">
        <v>55878</v>
      </c>
    </row>
    <row r="45" spans="1:12" ht="15">
      <c r="A45" s="23">
        <v>55885</v>
      </c>
      <c r="B45" s="23">
        <v>55932</v>
      </c>
      <c r="C45" s="23">
        <v>55933</v>
      </c>
      <c r="D45" s="23">
        <v>55978</v>
      </c>
      <c r="E45" s="23">
        <v>55995</v>
      </c>
      <c r="F45" s="23">
        <v>56005</v>
      </c>
      <c r="G45" s="23">
        <v>56040</v>
      </c>
      <c r="H45" s="23">
        <v>56134</v>
      </c>
      <c r="I45" s="23">
        <v>56169</v>
      </c>
      <c r="J45" s="23">
        <v>56190</v>
      </c>
      <c r="K45" s="23">
        <v>56203</v>
      </c>
      <c r="L45" s="23">
        <v>56243</v>
      </c>
    </row>
    <row r="46" spans="1:12" ht="15">
      <c r="A46" s="23">
        <v>56250</v>
      </c>
      <c r="B46" s="23">
        <v>56289</v>
      </c>
      <c r="C46" s="23">
        <v>56290</v>
      </c>
      <c r="D46" s="23">
        <v>56335</v>
      </c>
      <c r="E46" s="23">
        <v>56360</v>
      </c>
      <c r="F46" s="23">
        <v>56370</v>
      </c>
      <c r="G46" s="23">
        <v>56397</v>
      </c>
      <c r="H46" s="23">
        <v>56499</v>
      </c>
      <c r="I46" s="23">
        <v>56534</v>
      </c>
      <c r="J46" s="23">
        <v>56555</v>
      </c>
      <c r="K46" s="23">
        <v>56568</v>
      </c>
      <c r="L46" s="23">
        <v>56608</v>
      </c>
    </row>
    <row r="47" spans="1:12" ht="15">
      <c r="A47" s="23">
        <v>56615</v>
      </c>
      <c r="B47" s="23">
        <v>56674</v>
      </c>
      <c r="C47" s="23">
        <v>56675</v>
      </c>
      <c r="D47" s="23">
        <v>56720</v>
      </c>
      <c r="E47" s="23">
        <v>56725</v>
      </c>
      <c r="F47" s="23">
        <v>56735</v>
      </c>
      <c r="G47" s="23">
        <v>56782</v>
      </c>
      <c r="H47" s="23">
        <v>56864</v>
      </c>
      <c r="I47" s="23">
        <v>56899</v>
      </c>
      <c r="J47" s="23">
        <v>56920</v>
      </c>
      <c r="K47" s="23">
        <v>56933</v>
      </c>
      <c r="L47" s="23">
        <v>56973</v>
      </c>
    </row>
    <row r="48" spans="1:12" ht="15">
      <c r="A48" s="23">
        <v>56980</v>
      </c>
      <c r="B48" s="23">
        <v>57024</v>
      </c>
      <c r="C48" s="23">
        <v>57025</v>
      </c>
      <c r="D48" s="23">
        <v>57070</v>
      </c>
      <c r="E48" s="23">
        <v>57091</v>
      </c>
      <c r="F48" s="23">
        <v>57101</v>
      </c>
      <c r="G48" s="23">
        <v>57132</v>
      </c>
      <c r="H48" s="23">
        <v>57230</v>
      </c>
      <c r="I48" s="23">
        <v>57265</v>
      </c>
      <c r="J48" s="23">
        <v>57286</v>
      </c>
      <c r="K48" s="23">
        <v>57299</v>
      </c>
      <c r="L48" s="23">
        <v>57339</v>
      </c>
    </row>
    <row r="49" spans="1:12" ht="15">
      <c r="A49" s="23">
        <v>57346</v>
      </c>
      <c r="B49" s="23">
        <v>57409</v>
      </c>
      <c r="C49" s="23">
        <v>57410</v>
      </c>
      <c r="D49" s="23">
        <v>57455</v>
      </c>
      <c r="E49" s="23">
        <v>57456</v>
      </c>
      <c r="F49" s="23">
        <v>57466</v>
      </c>
      <c r="G49" s="23">
        <v>57517</v>
      </c>
      <c r="H49" s="23">
        <v>57595</v>
      </c>
      <c r="I49" s="23">
        <v>57630</v>
      </c>
      <c r="J49" s="23">
        <v>57651</v>
      </c>
      <c r="K49" s="23">
        <v>57664</v>
      </c>
      <c r="L49" s="23">
        <v>57704</v>
      </c>
    </row>
    <row r="50" spans="1:12" ht="15">
      <c r="A50" s="23">
        <v>57711</v>
      </c>
      <c r="B50" s="23">
        <v>57766</v>
      </c>
      <c r="C50" s="23">
        <v>57767</v>
      </c>
      <c r="D50" s="23">
        <v>57812</v>
      </c>
      <c r="E50" s="23">
        <v>57821</v>
      </c>
      <c r="F50" s="23">
        <v>57831</v>
      </c>
      <c r="G50" s="23">
        <v>57874</v>
      </c>
      <c r="H50" s="23">
        <v>57960</v>
      </c>
      <c r="I50" s="23">
        <v>57995</v>
      </c>
      <c r="J50" s="23">
        <v>58016</v>
      </c>
      <c r="K50" s="23">
        <v>58029</v>
      </c>
      <c r="L50" s="23">
        <v>58069</v>
      </c>
    </row>
    <row r="51" spans="1:12" ht="15">
      <c r="A51" s="23">
        <v>58076</v>
      </c>
      <c r="B51" s="23">
        <v>58116</v>
      </c>
      <c r="C51" s="23">
        <v>58117</v>
      </c>
      <c r="D51" s="23">
        <v>58162</v>
      </c>
      <c r="E51" s="23">
        <v>58186</v>
      </c>
      <c r="F51" s="23">
        <v>58196</v>
      </c>
      <c r="G51" s="23">
        <v>58224</v>
      </c>
      <c r="H51" s="23">
        <v>58325</v>
      </c>
      <c r="I51" s="23">
        <v>58360</v>
      </c>
      <c r="J51" s="23">
        <v>58381</v>
      </c>
      <c r="K51" s="23">
        <v>58394</v>
      </c>
      <c r="L51" s="23">
        <v>58434</v>
      </c>
    </row>
    <row r="52" spans="1:12" ht="15">
      <c r="A52" s="23">
        <v>58441</v>
      </c>
      <c r="B52" s="23">
        <v>58501</v>
      </c>
      <c r="C52" s="23">
        <v>58502</v>
      </c>
      <c r="D52" s="23">
        <v>58547</v>
      </c>
      <c r="E52" s="23">
        <v>58552</v>
      </c>
      <c r="F52" s="23">
        <v>58562</v>
      </c>
      <c r="G52" s="23">
        <v>58609</v>
      </c>
      <c r="H52" s="23">
        <v>58691</v>
      </c>
      <c r="I52" s="23">
        <v>58726</v>
      </c>
      <c r="J52" s="23">
        <v>58747</v>
      </c>
      <c r="K52" s="23">
        <v>58760</v>
      </c>
      <c r="L52" s="23">
        <v>58800</v>
      </c>
    </row>
    <row r="53" spans="1:12" ht="15">
      <c r="A53" s="23">
        <v>58807</v>
      </c>
      <c r="B53" s="23">
        <v>58858</v>
      </c>
      <c r="C53" s="23">
        <v>58859</v>
      </c>
      <c r="D53" s="23">
        <v>58904</v>
      </c>
      <c r="E53" s="23">
        <v>58917</v>
      </c>
      <c r="F53" s="23">
        <v>58927</v>
      </c>
      <c r="G53" s="23">
        <v>58966</v>
      </c>
      <c r="H53" s="23">
        <v>59056</v>
      </c>
      <c r="I53" s="23">
        <v>59091</v>
      </c>
      <c r="J53" s="23">
        <v>59112</v>
      </c>
      <c r="K53" s="23">
        <v>59125</v>
      </c>
      <c r="L53" s="23">
        <v>59165</v>
      </c>
    </row>
    <row r="54" spans="1:12" ht="15">
      <c r="A54" s="23">
        <v>59172</v>
      </c>
      <c r="B54" s="23">
        <v>59208</v>
      </c>
      <c r="C54" s="23">
        <v>59209</v>
      </c>
      <c r="D54" s="23">
        <v>59254</v>
      </c>
      <c r="E54" s="23">
        <v>59282</v>
      </c>
      <c r="F54" s="23">
        <v>59292</v>
      </c>
      <c r="G54" s="23">
        <v>59316</v>
      </c>
      <c r="H54" s="23">
        <v>59421</v>
      </c>
      <c r="I54" s="23">
        <v>59456</v>
      </c>
      <c r="J54" s="23">
        <v>59477</v>
      </c>
      <c r="K54" s="23">
        <v>59490</v>
      </c>
      <c r="L54" s="23">
        <v>59530</v>
      </c>
    </row>
    <row r="55" spans="1:12" ht="15">
      <c r="A55" s="23">
        <v>59537</v>
      </c>
      <c r="B55" s="23">
        <v>59593</v>
      </c>
      <c r="C55" s="23">
        <v>59594</v>
      </c>
      <c r="D55" s="23">
        <v>59639</v>
      </c>
      <c r="E55" s="23">
        <v>59647</v>
      </c>
      <c r="F55" s="23">
        <v>59657</v>
      </c>
      <c r="G55" s="23">
        <v>59701</v>
      </c>
      <c r="H55" s="23">
        <v>59786</v>
      </c>
      <c r="I55" s="23">
        <v>59821</v>
      </c>
      <c r="J55" s="23">
        <v>59842</v>
      </c>
      <c r="K55" s="23">
        <v>59855</v>
      </c>
      <c r="L55" s="23">
        <v>59895</v>
      </c>
    </row>
    <row r="56" spans="1:12" ht="15">
      <c r="A56" s="23">
        <v>59902</v>
      </c>
      <c r="B56" s="23">
        <v>59950</v>
      </c>
      <c r="C56" s="23">
        <v>59951</v>
      </c>
      <c r="D56" s="23">
        <v>59996</v>
      </c>
      <c r="E56" s="23">
        <v>60013</v>
      </c>
      <c r="F56" s="23">
        <v>60023</v>
      </c>
      <c r="G56" s="23">
        <v>60058</v>
      </c>
      <c r="H56" s="23">
        <v>60152</v>
      </c>
      <c r="I56" s="23">
        <v>60187</v>
      </c>
      <c r="J56" s="23">
        <v>60208</v>
      </c>
      <c r="K56" s="23">
        <v>60221</v>
      </c>
      <c r="L56" s="23">
        <v>60261</v>
      </c>
    </row>
    <row r="57" spans="1:12" ht="15">
      <c r="A57" s="23">
        <v>60268</v>
      </c>
      <c r="B57" s="23">
        <v>60307</v>
      </c>
      <c r="C57" s="23">
        <v>60308</v>
      </c>
      <c r="D57" s="23">
        <v>60353</v>
      </c>
      <c r="E57" s="23">
        <v>60378</v>
      </c>
      <c r="F57" s="23">
        <v>60388</v>
      </c>
      <c r="G57" s="23">
        <v>60415</v>
      </c>
      <c r="H57" s="23">
        <v>60517</v>
      </c>
      <c r="I57" s="23">
        <v>60552</v>
      </c>
      <c r="J57" s="23">
        <v>60573</v>
      </c>
      <c r="K57" s="23">
        <v>60586</v>
      </c>
      <c r="L57" s="23">
        <v>60626</v>
      </c>
    </row>
    <row r="58" spans="1:12" ht="15">
      <c r="A58" s="23">
        <v>60633</v>
      </c>
      <c r="B58" s="23">
        <v>60685</v>
      </c>
      <c r="C58" s="23">
        <v>60686</v>
      </c>
      <c r="D58" s="23">
        <v>60731</v>
      </c>
      <c r="E58" s="23">
        <v>60743</v>
      </c>
      <c r="F58" s="23">
        <v>60753</v>
      </c>
      <c r="G58" s="23">
        <v>60793</v>
      </c>
      <c r="H58" s="23">
        <v>60882</v>
      </c>
      <c r="I58" s="23">
        <v>60917</v>
      </c>
      <c r="J58" s="23">
        <v>60938</v>
      </c>
      <c r="K58" s="23">
        <v>60951</v>
      </c>
      <c r="L58" s="23">
        <v>60991</v>
      </c>
    </row>
    <row r="59" spans="1:12" ht="15">
      <c r="A59" s="23">
        <v>60998</v>
      </c>
      <c r="B59" s="23">
        <v>61042</v>
      </c>
      <c r="C59" s="23">
        <v>61043</v>
      </c>
      <c r="D59" s="23">
        <v>61088</v>
      </c>
      <c r="E59" s="23">
        <v>61108</v>
      </c>
      <c r="F59" s="23">
        <v>61118</v>
      </c>
      <c r="G59" s="23">
        <v>61150</v>
      </c>
      <c r="H59" s="23">
        <v>61247</v>
      </c>
      <c r="I59" s="23">
        <v>61282</v>
      </c>
      <c r="J59" s="23">
        <v>61303</v>
      </c>
      <c r="K59" s="23">
        <v>61316</v>
      </c>
      <c r="L59" s="23">
        <v>61356</v>
      </c>
    </row>
    <row r="60" spans="1:12" ht="15">
      <c r="A60" s="23">
        <v>61363</v>
      </c>
      <c r="B60" s="23">
        <v>61427</v>
      </c>
      <c r="C60" s="23">
        <v>61428</v>
      </c>
      <c r="D60" s="23">
        <v>61473</v>
      </c>
      <c r="E60" s="23">
        <v>61474</v>
      </c>
      <c r="F60" s="23">
        <v>61484</v>
      </c>
      <c r="G60" s="23">
        <v>61535</v>
      </c>
      <c r="H60" s="23">
        <v>61613</v>
      </c>
      <c r="I60" s="23">
        <v>61648</v>
      </c>
      <c r="J60" s="23">
        <v>61669</v>
      </c>
      <c r="K60" s="23">
        <v>61682</v>
      </c>
      <c r="L60" s="23">
        <v>61722</v>
      </c>
    </row>
    <row r="61" spans="1:12" ht="15">
      <c r="A61" s="23">
        <v>61729</v>
      </c>
      <c r="B61" s="23">
        <v>61784</v>
      </c>
      <c r="C61" s="23">
        <v>61785</v>
      </c>
      <c r="D61" s="23">
        <v>61830</v>
      </c>
      <c r="E61" s="23">
        <v>61839</v>
      </c>
      <c r="F61" s="23">
        <v>61849</v>
      </c>
      <c r="G61" s="23">
        <v>61892</v>
      </c>
      <c r="H61" s="23">
        <v>61978</v>
      </c>
      <c r="I61" s="23">
        <v>62013</v>
      </c>
      <c r="J61" s="23">
        <v>62034</v>
      </c>
      <c r="K61" s="23">
        <v>62047</v>
      </c>
      <c r="L61" s="23">
        <v>62087</v>
      </c>
    </row>
    <row r="62" spans="1:12" ht="15">
      <c r="A62" s="23">
        <v>62094</v>
      </c>
      <c r="B62" s="23">
        <v>62134</v>
      </c>
      <c r="C62" s="23">
        <v>62135</v>
      </c>
      <c r="D62" s="23">
        <v>62180</v>
      </c>
      <c r="E62" s="23">
        <v>62204</v>
      </c>
      <c r="F62" s="23">
        <v>62214</v>
      </c>
      <c r="G62" s="23">
        <v>62242</v>
      </c>
      <c r="H62" s="23">
        <v>62343</v>
      </c>
      <c r="I62" s="23">
        <v>62378</v>
      </c>
      <c r="J62" s="23">
        <v>62399</v>
      </c>
      <c r="K62" s="23">
        <v>62412</v>
      </c>
      <c r="L62" s="23">
        <v>62452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/>
  <dimension ref="A1:H27"/>
  <sheetViews>
    <sheetView zoomScalePageLayoutView="0" workbookViewId="0" topLeftCell="A1">
      <selection activeCell="F28" sqref="F28"/>
    </sheetView>
  </sheetViews>
  <sheetFormatPr defaultColWidth="9.140625" defaultRowHeight="15"/>
  <cols>
    <col min="6" max="6" width="12.00390625" style="0" bestFit="1" customWidth="1"/>
  </cols>
  <sheetData>
    <row r="1" spans="5:6" ht="15.75" thickBot="1">
      <c r="E1" t="s">
        <v>132</v>
      </c>
      <c r="F1" s="125">
        <v>-7.09E-08</v>
      </c>
    </row>
    <row r="2" spans="1:6" ht="23.25">
      <c r="A2" s="92" t="s">
        <v>87</v>
      </c>
      <c r="B2" s="93"/>
      <c r="C2" s="93"/>
      <c r="D2" s="93"/>
      <c r="E2" t="s">
        <v>133</v>
      </c>
      <c r="F2" s="125">
        <v>1.10758E-05</v>
      </c>
    </row>
    <row r="3" spans="1:6" ht="15">
      <c r="A3" s="94"/>
      <c r="D3" s="95"/>
      <c r="E3" t="s">
        <v>134</v>
      </c>
      <c r="F3" s="125">
        <v>0.0068007047</v>
      </c>
    </row>
    <row r="4" spans="1:6" ht="15.75" thickBot="1">
      <c r="A4" s="94"/>
      <c r="D4" s="95"/>
      <c r="E4" t="s">
        <v>135</v>
      </c>
      <c r="F4" s="125">
        <v>11.0750056306</v>
      </c>
    </row>
    <row r="5" spans="1:5" ht="15.75" thickBot="1">
      <c r="A5" s="96" t="s">
        <v>88</v>
      </c>
      <c r="B5" s="97" t="s">
        <v>91</v>
      </c>
      <c r="C5" s="98" t="s">
        <v>89</v>
      </c>
      <c r="D5" s="99" t="s">
        <v>90</v>
      </c>
      <c r="E5" s="99" t="s">
        <v>136</v>
      </c>
    </row>
    <row r="6" spans="1:5" ht="15">
      <c r="A6" s="25">
        <v>8</v>
      </c>
      <c r="B6" s="2">
        <v>11.14</v>
      </c>
      <c r="C6" s="100">
        <v>8</v>
      </c>
      <c r="D6" s="101">
        <f>cubic_spline($A$6:$A$10,$B$6:$B$10,C6)</f>
        <v>11.140000343322754</v>
      </c>
      <c r="E6" s="126">
        <f aca="true" t="shared" si="0" ref="E6:E27">$F$1*C6^3+$F$2*C6^2+$F$3*C6+$F$4</f>
        <v>11.1300838186</v>
      </c>
    </row>
    <row r="7" spans="1:5" ht="15">
      <c r="A7" s="25">
        <v>49</v>
      </c>
      <c r="B7" s="2">
        <v>11.4</v>
      </c>
      <c r="C7" s="100">
        <v>20</v>
      </c>
      <c r="D7" s="101">
        <f aca="true" t="shared" si="1" ref="D7:D27">cubic_spline($A$6:$A$10,$B$6:$B$10,C7)</f>
        <v>11.210325415169525</v>
      </c>
      <c r="E7" s="126">
        <f t="shared" si="0"/>
        <v>11.2148828446</v>
      </c>
    </row>
    <row r="8" spans="1:5" ht="15">
      <c r="A8" s="25">
        <v>111</v>
      </c>
      <c r="B8" s="2">
        <v>11.9</v>
      </c>
      <c r="C8" s="100">
        <v>32</v>
      </c>
      <c r="D8" s="101">
        <f t="shared" si="1"/>
        <v>11.283895208415142</v>
      </c>
      <c r="E8" s="126">
        <f t="shared" si="0"/>
        <v>11.301646548999999</v>
      </c>
    </row>
    <row r="9" spans="1:5" ht="15">
      <c r="A9" s="25">
        <v>176</v>
      </c>
      <c r="B9" s="2">
        <v>12.21</v>
      </c>
      <c r="C9" s="100">
        <v>44</v>
      </c>
      <c r="D9" s="101">
        <f t="shared" si="1"/>
        <v>11.363954802086326</v>
      </c>
      <c r="E9" s="126">
        <f t="shared" si="0"/>
        <v>11.3896398406</v>
      </c>
    </row>
    <row r="10" spans="1:5" ht="15">
      <c r="A10" s="38">
        <v>239</v>
      </c>
      <c r="B10" s="3">
        <v>12.37</v>
      </c>
      <c r="C10" s="100">
        <v>56</v>
      </c>
      <c r="D10" s="101">
        <f t="shared" si="1"/>
        <v>11.45348767568311</v>
      </c>
      <c r="E10" s="126">
        <f t="shared" si="0"/>
        <v>11.4781276282</v>
      </c>
    </row>
    <row r="11" spans="1:5" ht="15">
      <c r="A11" s="102"/>
      <c r="B11" s="103"/>
      <c r="C11" s="100">
        <v>68</v>
      </c>
      <c r="D11" s="101">
        <f t="shared" si="1"/>
        <v>11.551312725471009</v>
      </c>
      <c r="E11" s="126">
        <f t="shared" si="0"/>
        <v>11.5663748206</v>
      </c>
    </row>
    <row r="12" spans="1:5" ht="15">
      <c r="A12" s="102"/>
      <c r="B12" s="103"/>
      <c r="C12" s="100">
        <v>80</v>
      </c>
      <c r="D12" s="101">
        <f t="shared" si="1"/>
        <v>11.652896991963644</v>
      </c>
      <c r="E12" s="126">
        <f t="shared" si="0"/>
        <v>11.6536463266</v>
      </c>
    </row>
    <row r="13" spans="1:5" ht="15">
      <c r="A13" s="102"/>
      <c r="B13" s="103"/>
      <c r="C13" s="100">
        <v>92</v>
      </c>
      <c r="D13" s="101">
        <f t="shared" si="1"/>
        <v>11.7536129505829</v>
      </c>
      <c r="E13" s="126">
        <f t="shared" si="0"/>
        <v>11.739207055</v>
      </c>
    </row>
    <row r="14" spans="1:5" ht="15">
      <c r="A14" s="102"/>
      <c r="B14" s="103"/>
      <c r="C14" s="100">
        <v>104</v>
      </c>
      <c r="D14" s="101">
        <f t="shared" si="1"/>
        <v>11.848832839038945</v>
      </c>
      <c r="E14" s="126">
        <f t="shared" si="0"/>
        <v>11.8223219146</v>
      </c>
    </row>
    <row r="15" spans="1:5" ht="15">
      <c r="A15" s="102"/>
      <c r="B15" s="103"/>
      <c r="C15" s="100">
        <v>116</v>
      </c>
      <c r="D15" s="101">
        <f t="shared" si="1"/>
        <v>11.934004601289065</v>
      </c>
      <c r="E15" s="126">
        <f t="shared" si="0"/>
        <v>11.9022558142</v>
      </c>
    </row>
    <row r="16" spans="1:5" ht="15">
      <c r="A16" s="102"/>
      <c r="B16" s="103"/>
      <c r="C16" s="100">
        <v>128</v>
      </c>
      <c r="D16" s="101">
        <f t="shared" si="1"/>
        <v>12.007216398612544</v>
      </c>
      <c r="E16" s="126">
        <f t="shared" si="0"/>
        <v>11.9782736626</v>
      </c>
    </row>
    <row r="17" spans="1:5" ht="15">
      <c r="A17" s="102"/>
      <c r="B17" s="103"/>
      <c r="C17" s="100">
        <v>140</v>
      </c>
      <c r="D17" s="101">
        <f t="shared" si="1"/>
        <v>12.06984306623783</v>
      </c>
      <c r="E17" s="126">
        <f t="shared" si="0"/>
        <v>12.0496403686</v>
      </c>
    </row>
    <row r="18" spans="1:5" ht="15">
      <c r="A18" s="102"/>
      <c r="B18" s="103"/>
      <c r="C18" s="100">
        <v>152</v>
      </c>
      <c r="D18" s="101">
        <f t="shared" si="1"/>
        <v>12.123462805951897</v>
      </c>
      <c r="E18" s="126">
        <f t="shared" si="0"/>
        <v>12.115620841</v>
      </c>
    </row>
    <row r="19" spans="1:5" ht="15">
      <c r="A19" s="102"/>
      <c r="B19" s="103"/>
      <c r="C19" s="100">
        <v>164</v>
      </c>
      <c r="D19" s="101">
        <f t="shared" si="1"/>
        <v>12.169655490373001</v>
      </c>
      <c r="E19" s="126">
        <f t="shared" si="0"/>
        <v>12.1754799886</v>
      </c>
    </row>
    <row r="20" spans="1:5" ht="15">
      <c r="A20" s="102"/>
      <c r="B20" s="103"/>
      <c r="C20" s="100">
        <v>176</v>
      </c>
      <c r="D20" s="101">
        <f t="shared" si="1"/>
        <v>12.210000038146973</v>
      </c>
      <c r="E20" s="126">
        <f t="shared" si="0"/>
        <v>12.2284827202</v>
      </c>
    </row>
    <row r="21" spans="1:8" ht="13.5" customHeight="1">
      <c r="A21" s="102"/>
      <c r="B21" s="103"/>
      <c r="C21" s="100">
        <v>188</v>
      </c>
      <c r="D21" s="101">
        <f t="shared" si="1"/>
        <v>12.245948128540219</v>
      </c>
      <c r="E21" s="126">
        <f t="shared" si="0"/>
        <v>12.2738939446</v>
      </c>
      <c r="H21" s="104"/>
    </row>
    <row r="22" spans="1:8" ht="18">
      <c r="A22" s="102"/>
      <c r="B22" s="103"/>
      <c r="C22" s="100">
        <v>200</v>
      </c>
      <c r="D22" s="101">
        <f t="shared" si="1"/>
        <v>12.27844037874271</v>
      </c>
      <c r="E22" s="126">
        <f t="shared" si="0"/>
        <v>12.3109785706</v>
      </c>
      <c r="H22" s="105"/>
    </row>
    <row r="23" spans="1:8" ht="15">
      <c r="A23" s="102"/>
      <c r="B23" s="103"/>
      <c r="C23" s="100">
        <v>212</v>
      </c>
      <c r="D23" s="101">
        <f t="shared" si="1"/>
        <v>12.308289450463432</v>
      </c>
      <c r="E23" s="126">
        <f t="shared" si="0"/>
        <v>12.339001506999999</v>
      </c>
      <c r="H23" s="104"/>
    </row>
    <row r="24" spans="1:8" ht="15.75">
      <c r="A24" s="102"/>
      <c r="B24" s="103"/>
      <c r="C24" s="100">
        <v>224</v>
      </c>
      <c r="D24" s="101">
        <f t="shared" si="1"/>
        <v>12.336309197826296</v>
      </c>
      <c r="E24" s="126">
        <f t="shared" si="0"/>
        <v>12.3572276626</v>
      </c>
      <c r="H24" s="106"/>
    </row>
    <row r="25" spans="1:5" ht="15">
      <c r="A25" s="102"/>
      <c r="B25" s="103"/>
      <c r="C25" s="100">
        <v>236</v>
      </c>
      <c r="D25" s="101">
        <f t="shared" si="1"/>
        <v>12.36331258113304</v>
      </c>
      <c r="E25" s="126">
        <f t="shared" si="0"/>
        <v>12.364921946199999</v>
      </c>
    </row>
    <row r="26" spans="1:5" ht="15">
      <c r="A26" s="102"/>
      <c r="B26" s="103"/>
      <c r="C26" s="100">
        <v>248</v>
      </c>
      <c r="D26" s="101">
        <f t="shared" si="1"/>
        <v>12.390112560351438</v>
      </c>
      <c r="E26" s="126">
        <f t="shared" si="0"/>
        <v>12.3613492666</v>
      </c>
    </row>
    <row r="27" spans="1:5" ht="15.75" thickBot="1">
      <c r="A27" s="107"/>
      <c r="B27" s="108"/>
      <c r="C27" s="100">
        <v>260</v>
      </c>
      <c r="D27" s="101">
        <f t="shared" si="1"/>
        <v>12.417522453512476</v>
      </c>
      <c r="E27" s="126">
        <f t="shared" si="0"/>
        <v>12.3457745326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3.00390625" style="0" customWidth="1"/>
    <col min="2" max="2" width="10.421875" style="0" customWidth="1"/>
    <col min="3" max="3" width="13.7109375" style="0" bestFit="1" customWidth="1"/>
    <col min="4" max="4" width="10.7109375" style="0" bestFit="1" customWidth="1"/>
    <col min="5" max="5" width="10.8515625" style="0" customWidth="1"/>
    <col min="6" max="6" width="12.57421875" style="0" customWidth="1"/>
    <col min="7" max="7" width="10.57421875" style="0" customWidth="1"/>
  </cols>
  <sheetData>
    <row r="1" spans="1:16" ht="15.75">
      <c r="A1" s="184" t="s">
        <v>137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" ht="15">
      <c r="A2" s="129" t="s">
        <v>66</v>
      </c>
      <c r="B2" s="130">
        <v>42467</v>
      </c>
    </row>
    <row r="3" spans="1:2" ht="15">
      <c r="A3" s="129" t="s">
        <v>65</v>
      </c>
      <c r="B3" s="131">
        <v>6</v>
      </c>
    </row>
    <row r="4" spans="1:4" ht="15">
      <c r="A4" s="129" t="s">
        <v>60</v>
      </c>
      <c r="B4" s="131">
        <v>6.6</v>
      </c>
      <c r="D4" t="s">
        <v>149</v>
      </c>
    </row>
    <row r="5" spans="1:2" ht="15">
      <c r="A5" s="129" t="s">
        <v>59</v>
      </c>
      <c r="B5" s="130">
        <v>43327</v>
      </c>
    </row>
    <row r="6" spans="1:2" ht="15">
      <c r="A6" s="132" t="s">
        <v>74</v>
      </c>
      <c r="B6" s="134">
        <v>2853.288761</v>
      </c>
    </row>
    <row r="8" ht="15">
      <c r="A8" s="129" t="s">
        <v>142</v>
      </c>
    </row>
    <row r="10" ht="15">
      <c r="A10" t="s">
        <v>143</v>
      </c>
    </row>
    <row r="11" ht="15.75" thickBot="1"/>
    <row r="12" spans="1:4" ht="15.75" thickBot="1">
      <c r="A12" s="136" t="s">
        <v>144</v>
      </c>
      <c r="D12" s="137">
        <f>ROUND((1.06^0.5-1),8)*100</f>
        <v>2.956301</v>
      </c>
    </row>
    <row r="13" ht="15">
      <c r="A13" s="6" t="s">
        <v>145</v>
      </c>
    </row>
    <row r="16" ht="15">
      <c r="A16" t="s">
        <v>146</v>
      </c>
    </row>
    <row r="17" ht="15">
      <c r="A17" t="s">
        <v>148</v>
      </c>
    </row>
    <row r="18" spans="1:3" ht="15">
      <c r="A18" t="s">
        <v>150</v>
      </c>
      <c r="C18" s="23"/>
    </row>
    <row r="19" spans="1:3" ht="15">
      <c r="A19" t="s">
        <v>152</v>
      </c>
      <c r="C19" s="23"/>
    </row>
    <row r="20" ht="15">
      <c r="A20" t="s">
        <v>151</v>
      </c>
    </row>
    <row r="22" spans="2:3" ht="15">
      <c r="B22" t="s">
        <v>147</v>
      </c>
      <c r="C22" s="23">
        <v>42467</v>
      </c>
    </row>
    <row r="24" spans="3:5" ht="15">
      <c r="C24" s="117" t="s">
        <v>108</v>
      </c>
      <c r="D24" s="117" t="s">
        <v>28</v>
      </c>
      <c r="E24" s="117" t="s">
        <v>154</v>
      </c>
    </row>
    <row r="25" spans="3:5" ht="15">
      <c r="C25" s="23">
        <v>42597</v>
      </c>
      <c r="D25" s="138">
        <f>_XLL.DIATRABALHOTOTAL($C$22,C25,feriados)-1</f>
        <v>90</v>
      </c>
      <c r="E25">
        <f>$D$12</f>
        <v>2.956301</v>
      </c>
    </row>
    <row r="26" spans="3:5" ht="15">
      <c r="C26" s="23">
        <v>42781</v>
      </c>
      <c r="D26" s="138">
        <f>_XLL.DIATRABALHOTOTAL($C$22,C26,feriados)-1</f>
        <v>218</v>
      </c>
      <c r="E26">
        <f>$D$12</f>
        <v>2.956301</v>
      </c>
    </row>
    <row r="27" spans="3:5" ht="15">
      <c r="C27" s="23">
        <v>42962</v>
      </c>
      <c r="D27" s="138">
        <f>_XLL.DIATRABALHOTOTAL($C$22,C27,feriados)-1</f>
        <v>341</v>
      </c>
      <c r="E27">
        <f>$D$12</f>
        <v>2.956301</v>
      </c>
    </row>
    <row r="28" spans="3:5" ht="15">
      <c r="C28" s="23">
        <v>43146</v>
      </c>
      <c r="D28" s="138">
        <f>_XLL.DIATRABALHOTOTAL($C$22,C28,feriados)-1</f>
        <v>465</v>
      </c>
      <c r="E28">
        <f>$D$12</f>
        <v>2.956301</v>
      </c>
    </row>
    <row r="29" spans="3:5" ht="15">
      <c r="C29" s="23">
        <v>43327</v>
      </c>
      <c r="D29" s="138">
        <f>_XLL.DIATRABALHOTOTAL($C$22,C29,feriados)-1</f>
        <v>591</v>
      </c>
      <c r="E29">
        <f>$D$12+100</f>
        <v>102.956301</v>
      </c>
    </row>
    <row r="31" ht="15">
      <c r="A31" t="s">
        <v>153</v>
      </c>
    </row>
    <row r="33" ht="15">
      <c r="B33" s="6" t="s">
        <v>156</v>
      </c>
    </row>
    <row r="35" spans="3:4" ht="15">
      <c r="C35" s="119" t="s">
        <v>155</v>
      </c>
      <c r="D35" s="119">
        <v>6.6</v>
      </c>
    </row>
    <row r="36" spans="3:6" ht="15">
      <c r="C36" s="119" t="s">
        <v>108</v>
      </c>
      <c r="D36" s="119" t="s">
        <v>28</v>
      </c>
      <c r="E36" s="119" t="s">
        <v>154</v>
      </c>
      <c r="F36" s="117" t="s">
        <v>86</v>
      </c>
    </row>
    <row r="37" spans="3:6" ht="15">
      <c r="C37" s="23">
        <v>42597</v>
      </c>
      <c r="D37" s="138">
        <f>_XLL.DIATRABALHOTOTAL($C$22,C37,feriados)-1</f>
        <v>90</v>
      </c>
      <c r="E37">
        <f>$D$12</f>
        <v>2.956301</v>
      </c>
      <c r="F37" s="142">
        <f>E37/(1+$D$35/100)^(D37/252)</f>
        <v>2.8895842594924375</v>
      </c>
    </row>
    <row r="38" spans="3:6" ht="15">
      <c r="C38" s="23">
        <v>42781</v>
      </c>
      <c r="D38" s="138">
        <f>_XLL.DIATRABALHOTOTAL($C$22,C38,feriados)-1</f>
        <v>218</v>
      </c>
      <c r="E38">
        <f>$D$12</f>
        <v>2.956301</v>
      </c>
      <c r="F38" s="142">
        <f>E38/(1+$D$35/100)^(D38/252)</f>
        <v>2.7972833818388527</v>
      </c>
    </row>
    <row r="39" spans="3:6" ht="15">
      <c r="C39" s="23">
        <v>42962</v>
      </c>
      <c r="D39" s="138">
        <f>_XLL.DIATRABALHOTOTAL($C$22,C39,feriados)-1</f>
        <v>341</v>
      </c>
      <c r="E39">
        <f>$D$12</f>
        <v>2.956301</v>
      </c>
      <c r="F39" s="142">
        <f>E39/(1+$D$35/100)^(D39/252)</f>
        <v>2.7113669992932956</v>
      </c>
    </row>
    <row r="40" spans="3:6" ht="15">
      <c r="C40" s="23">
        <v>43146</v>
      </c>
      <c r="D40" s="138">
        <f>_XLL.DIATRABALHOTOTAL($C$22,C40,feriados)-1</f>
        <v>465</v>
      </c>
      <c r="E40">
        <f>$D$12</f>
        <v>2.956301</v>
      </c>
      <c r="F40" s="142">
        <f>E40/(1+$D$35/100)^(D40/252)</f>
        <v>2.627423008731511</v>
      </c>
    </row>
    <row r="41" spans="3:6" ht="15">
      <c r="C41" s="23">
        <v>43327</v>
      </c>
      <c r="D41" s="138">
        <f>_XLL.DIATRABALHOTOTAL($C$22,C41,feriados)-1</f>
        <v>591</v>
      </c>
      <c r="E41">
        <f>$D$12+100</f>
        <v>102.956301</v>
      </c>
      <c r="F41" s="142">
        <f>E41/(1+$D$35/100)^(D41/252)</f>
        <v>88.62488344839988</v>
      </c>
    </row>
    <row r="42" ht="15.75" thickBot="1"/>
    <row r="43" spans="5:6" ht="15.75" thickBot="1">
      <c r="E43" s="117" t="s">
        <v>86</v>
      </c>
      <c r="F43" s="143">
        <f>SUM(F37:F42)</f>
        <v>99.65054109775598</v>
      </c>
    </row>
    <row r="45" ht="15">
      <c r="A45" t="s">
        <v>159</v>
      </c>
    </row>
    <row r="47" ht="15">
      <c r="B47" t="s">
        <v>157</v>
      </c>
    </row>
    <row r="48" spans="2:3" ht="15">
      <c r="B48" t="s">
        <v>74</v>
      </c>
      <c r="C48" s="133">
        <f>B6</f>
        <v>2853.288761</v>
      </c>
    </row>
    <row r="49" ht="15.75" thickBot="1"/>
    <row r="50" spans="2:3" ht="15.75" thickBot="1">
      <c r="B50" s="116" t="s">
        <v>158</v>
      </c>
      <c r="C50" s="144">
        <f>F43/100*C48</f>
        <v>2843.317689417957</v>
      </c>
    </row>
  </sheetData>
  <sheetProtection/>
  <mergeCells count="1">
    <mergeCell ref="A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43">
      <selection activeCell="B9" sqref="B9"/>
    </sheetView>
  </sheetViews>
  <sheetFormatPr defaultColWidth="9.140625" defaultRowHeight="15"/>
  <cols>
    <col min="2" max="2" width="10.7109375" style="0" bestFit="1" customWidth="1"/>
    <col min="3" max="3" width="10.57421875" style="0" customWidth="1"/>
    <col min="4" max="4" width="10.7109375" style="0" bestFit="1" customWidth="1"/>
    <col min="7" max="7" width="9.140625" style="0" customWidth="1"/>
    <col min="8" max="9" width="10.7109375" style="0" bestFit="1" customWidth="1"/>
    <col min="11" max="11" width="10.7109375" style="0" bestFit="1" customWidth="1"/>
  </cols>
  <sheetData>
    <row r="1" spans="1:13" ht="15.75">
      <c r="A1" s="135" t="s">
        <v>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3:11" ht="15.75">
      <c r="C3" s="128" t="s">
        <v>139</v>
      </c>
      <c r="D3" s="23">
        <v>42467</v>
      </c>
      <c r="K3" t="s">
        <v>140</v>
      </c>
    </row>
    <row r="4" spans="1:12" ht="15">
      <c r="A4" s="127"/>
      <c r="B4" s="59" t="s">
        <v>28</v>
      </c>
      <c r="C4" s="59" t="s">
        <v>166</v>
      </c>
      <c r="D4" s="59" t="s">
        <v>60</v>
      </c>
      <c r="I4" s="59"/>
      <c r="J4" s="59" t="s">
        <v>28</v>
      </c>
      <c r="K4" s="59" t="s">
        <v>166</v>
      </c>
      <c r="L4" s="59" t="s">
        <v>60</v>
      </c>
    </row>
    <row r="5" spans="2:12" ht="15">
      <c r="B5" s="138">
        <f aca="true" t="shared" si="0" ref="B5:B13">_XLL.DIATRABALHOTOTAL($D$3,C5,feriados)-1</f>
        <v>90</v>
      </c>
      <c r="C5" s="23">
        <v>42597</v>
      </c>
      <c r="D5" s="146">
        <v>8.5434</v>
      </c>
      <c r="I5" s="23"/>
      <c r="J5" s="138">
        <f aca="true" t="shared" si="1" ref="J5:J18">_XLL.DIATRABALHOTOTAL($D$3,K5,feriados)-1</f>
        <v>59</v>
      </c>
      <c r="K5" s="23">
        <v>42552</v>
      </c>
      <c r="L5" s="146">
        <v>13.9671</v>
      </c>
    </row>
    <row r="6" spans="2:12" ht="15">
      <c r="B6" s="138">
        <f t="shared" si="0"/>
        <v>276</v>
      </c>
      <c r="C6" s="23">
        <v>42870</v>
      </c>
      <c r="D6" s="146">
        <v>6.3684</v>
      </c>
      <c r="I6" s="23"/>
      <c r="J6" s="138">
        <f t="shared" si="1"/>
        <v>123</v>
      </c>
      <c r="K6" s="23">
        <v>42644</v>
      </c>
      <c r="L6" s="146">
        <v>13.8818</v>
      </c>
    </row>
    <row r="7" spans="1:12" ht="15">
      <c r="A7" s="127"/>
      <c r="B7" s="138">
        <f t="shared" si="0"/>
        <v>591</v>
      </c>
      <c r="C7" s="23">
        <v>43327</v>
      </c>
      <c r="D7" s="146">
        <v>6.5875</v>
      </c>
      <c r="I7" s="23"/>
      <c r="J7" s="138">
        <f t="shared" si="1"/>
        <v>185</v>
      </c>
      <c r="K7" s="23">
        <v>42736</v>
      </c>
      <c r="L7" s="146">
        <v>13.7127</v>
      </c>
    </row>
    <row r="8" spans="2:12" ht="15">
      <c r="B8" s="138">
        <f t="shared" si="0"/>
        <v>776</v>
      </c>
      <c r="C8" s="23">
        <v>43600</v>
      </c>
      <c r="D8" s="146">
        <v>6.5</v>
      </c>
      <c r="I8" s="23"/>
      <c r="J8" s="138">
        <f t="shared" si="1"/>
        <v>248</v>
      </c>
      <c r="K8" s="23">
        <v>42826</v>
      </c>
      <c r="L8" s="146">
        <v>13.6172</v>
      </c>
    </row>
    <row r="9" spans="2:12" ht="15">
      <c r="B9" s="138">
        <f t="shared" si="0"/>
        <v>1093</v>
      </c>
      <c r="C9" s="23">
        <v>44058</v>
      </c>
      <c r="D9" s="146">
        <v>6.5051</v>
      </c>
      <c r="I9" s="23"/>
      <c r="J9" s="138">
        <f t="shared" si="1"/>
        <v>309</v>
      </c>
      <c r="K9" s="23">
        <v>42917</v>
      </c>
      <c r="L9" s="146">
        <v>13.5943</v>
      </c>
    </row>
    <row r="10" spans="2:12" ht="15">
      <c r="B10" s="138">
        <f t="shared" si="0"/>
        <v>1279</v>
      </c>
      <c r="C10" s="23">
        <v>44331</v>
      </c>
      <c r="D10" s="146">
        <v>6.6646</v>
      </c>
      <c r="I10" s="23"/>
      <c r="J10" s="138">
        <f t="shared" si="1"/>
        <v>373</v>
      </c>
      <c r="K10" s="23">
        <v>43009</v>
      </c>
      <c r="L10" s="146">
        <v>13.625</v>
      </c>
    </row>
    <row r="11" spans="2:12" ht="15">
      <c r="B11" s="138">
        <f t="shared" si="0"/>
        <v>1343</v>
      </c>
      <c r="C11" s="23">
        <v>44423</v>
      </c>
      <c r="D11" s="146">
        <v>6.7158</v>
      </c>
      <c r="I11" s="23"/>
      <c r="J11" s="138">
        <f t="shared" si="1"/>
        <v>434</v>
      </c>
      <c r="K11" s="23">
        <v>43101</v>
      </c>
      <c r="L11" s="146">
        <v>13.6065</v>
      </c>
    </row>
    <row r="12" spans="2:12" ht="15">
      <c r="B12" s="138">
        <f t="shared" si="0"/>
        <v>1741</v>
      </c>
      <c r="C12" s="23">
        <v>45000</v>
      </c>
      <c r="D12" s="146">
        <v>6.75</v>
      </c>
      <c r="I12" s="23"/>
      <c r="J12" s="138">
        <f t="shared" si="1"/>
        <v>495</v>
      </c>
      <c r="K12" s="23">
        <v>43191</v>
      </c>
      <c r="L12" s="146">
        <v>13.6833</v>
      </c>
    </row>
    <row r="13" spans="2:12" ht="15">
      <c r="B13" s="138">
        <f t="shared" si="0"/>
        <v>1781</v>
      </c>
      <c r="C13" s="23">
        <v>45061</v>
      </c>
      <c r="D13" s="146">
        <v>6.75</v>
      </c>
      <c r="I13" s="23"/>
      <c r="J13" s="138">
        <f t="shared" si="1"/>
        <v>558</v>
      </c>
      <c r="K13" s="23">
        <v>43282</v>
      </c>
      <c r="L13" s="146">
        <v>13.7348</v>
      </c>
    </row>
    <row r="14" spans="9:12" ht="15">
      <c r="I14" s="23"/>
      <c r="J14" s="138">
        <f t="shared" si="1"/>
        <v>684</v>
      </c>
      <c r="K14" s="23">
        <v>43466</v>
      </c>
      <c r="L14" s="146">
        <v>13.86</v>
      </c>
    </row>
    <row r="15" spans="9:14" ht="15">
      <c r="I15" s="23"/>
      <c r="J15" s="138">
        <f t="shared" si="1"/>
        <v>808</v>
      </c>
      <c r="K15" s="23">
        <v>43647</v>
      </c>
      <c r="L15" s="146">
        <v>13.9561</v>
      </c>
      <c r="N15" s="127" t="s">
        <v>141</v>
      </c>
    </row>
    <row r="16" spans="9:12" ht="15">
      <c r="I16" s="23"/>
      <c r="J16" s="138">
        <f t="shared" si="1"/>
        <v>937</v>
      </c>
      <c r="K16" s="23">
        <v>43831</v>
      </c>
      <c r="L16" s="146">
        <v>14.012</v>
      </c>
    </row>
    <row r="17" spans="1:13" ht="15">
      <c r="A17" t="s">
        <v>160</v>
      </c>
      <c r="J17" s="138">
        <f t="shared" si="1"/>
        <v>1188</v>
      </c>
      <c r="K17" s="23">
        <v>44197</v>
      </c>
      <c r="L17" s="146">
        <v>14.0083</v>
      </c>
      <c r="M17" s="136" t="s">
        <v>72</v>
      </c>
    </row>
    <row r="18" spans="10:13" ht="15">
      <c r="J18" s="138">
        <f t="shared" si="1"/>
        <v>1690</v>
      </c>
      <c r="K18" s="23">
        <v>44927</v>
      </c>
      <c r="L18" s="146">
        <v>14.15</v>
      </c>
      <c r="M18" s="136" t="s">
        <v>72</v>
      </c>
    </row>
    <row r="19" ht="15">
      <c r="A19" t="s">
        <v>161</v>
      </c>
    </row>
    <row r="21" ht="15">
      <c r="E21" t="s">
        <v>162</v>
      </c>
    </row>
    <row r="23" ht="15">
      <c r="A23" t="s">
        <v>165</v>
      </c>
    </row>
    <row r="25" ht="15">
      <c r="E25" t="s">
        <v>163</v>
      </c>
    </row>
    <row r="26" ht="15">
      <c r="E26" t="s">
        <v>164</v>
      </c>
    </row>
    <row r="28" ht="15">
      <c r="A28" t="s">
        <v>169</v>
      </c>
    </row>
    <row r="30" spans="4:6" ht="15">
      <c r="D30" s="147" t="s">
        <v>167</v>
      </c>
      <c r="E30" s="147"/>
      <c r="F30" s="147" t="s">
        <v>168</v>
      </c>
    </row>
    <row r="31" spans="3:6" ht="15">
      <c r="C31" s="148">
        <v>42736</v>
      </c>
      <c r="D31" s="126">
        <f>cubic_spline($K$5:$K$18,$L$5:$L$18,C31)</f>
        <v>13.712699890136719</v>
      </c>
      <c r="F31" s="126">
        <f>cubic_spline($C$5:$C$13,$D$5:$D$13,C31)</f>
        <v>7.249108319040925</v>
      </c>
    </row>
    <row r="32" spans="3:6" ht="15">
      <c r="C32" s="148">
        <v>43101</v>
      </c>
      <c r="D32" s="126">
        <f aca="true" t="shared" si="2" ref="D32:D37">cubic_spline($K$5:$K$18,$L$5:$L$18,C32)</f>
        <v>13.606499671936035</v>
      </c>
      <c r="F32" s="126">
        <f aca="true" t="shared" si="3" ref="F32:F37">cubic_spline($C$5:$C$13,$D$5:$D$13,C32)</f>
        <v>6.17708840889317</v>
      </c>
    </row>
    <row r="33" spans="3:6" ht="15">
      <c r="C33" s="148">
        <v>43466</v>
      </c>
      <c r="D33" s="126">
        <f t="shared" si="2"/>
        <v>13.859999656677246</v>
      </c>
      <c r="F33" s="126">
        <f t="shared" si="3"/>
        <v>6.6003043471094625</v>
      </c>
    </row>
    <row r="34" spans="3:6" ht="15">
      <c r="C34" s="148">
        <v>43831</v>
      </c>
      <c r="D34" s="126">
        <f t="shared" si="2"/>
        <v>14.01200008392334</v>
      </c>
      <c r="F34" s="126">
        <f t="shared" si="3"/>
        <v>6.43418958903821</v>
      </c>
    </row>
    <row r="35" spans="3:6" ht="15">
      <c r="C35" s="148">
        <v>44197</v>
      </c>
      <c r="D35" s="126">
        <f t="shared" si="2"/>
        <v>14.008299827575684</v>
      </c>
      <c r="F35" s="126">
        <f t="shared" si="3"/>
        <v>6.582598854067198</v>
      </c>
    </row>
    <row r="36" spans="3:6" ht="15">
      <c r="C36" s="148">
        <v>44562</v>
      </c>
      <c r="D36" s="126">
        <f t="shared" si="2"/>
        <v>14.050249882034564</v>
      </c>
      <c r="F36" s="126">
        <f t="shared" si="3"/>
        <v>6.759068173135006</v>
      </c>
    </row>
    <row r="37" spans="3:6" ht="15">
      <c r="C37" s="148">
        <v>44927</v>
      </c>
      <c r="D37" s="126">
        <f t="shared" si="2"/>
        <v>14.149999618530273</v>
      </c>
      <c r="F37" s="126">
        <f t="shared" si="3"/>
        <v>6.753316553669045</v>
      </c>
    </row>
    <row r="39" spans="1:7" ht="15">
      <c r="A39" t="s">
        <v>170</v>
      </c>
      <c r="G39" s="136" t="s">
        <v>162</v>
      </c>
    </row>
    <row r="41" spans="2:9" ht="15">
      <c r="B41" s="23">
        <v>42467</v>
      </c>
      <c r="D41" t="s">
        <v>167</v>
      </c>
      <c r="E41" s="112" t="s">
        <v>172</v>
      </c>
      <c r="F41" t="s">
        <v>168</v>
      </c>
      <c r="G41" s="112" t="s">
        <v>172</v>
      </c>
      <c r="I41" s="112" t="s">
        <v>171</v>
      </c>
    </row>
    <row r="42" spans="2:9" ht="15">
      <c r="B42" s="138">
        <f aca="true" t="shared" si="4" ref="B42:B48">_XLL.DIATRABALHOTOTAL($B$41,C42,feriados)-1</f>
        <v>185</v>
      </c>
      <c r="C42" s="23">
        <v>42736</v>
      </c>
      <c r="D42" s="126">
        <f>cubic_spline($K$5:$K$18,$L$5:$L$18,C42)</f>
        <v>13.712699890136719</v>
      </c>
      <c r="E42" s="141">
        <f>(1+D42/100)^(B42/252)</f>
        <v>1.0989321310889235</v>
      </c>
      <c r="F42" s="126">
        <f>cubic_spline($C$5:$C$13,$D$5:$D$13,C42)</f>
        <v>7.249108319040925</v>
      </c>
      <c r="G42" s="145">
        <f>(1+F42/100)^(B42/252)</f>
        <v>1.0527198888209282</v>
      </c>
      <c r="H42" s="23">
        <f>C42</f>
        <v>42736</v>
      </c>
      <c r="I42" s="140">
        <f>((E42/G42)^(252/B42)-1)*100</f>
        <v>6.026708913856993</v>
      </c>
    </row>
    <row r="43" spans="2:9" ht="15">
      <c r="B43" s="138">
        <f t="shared" si="4"/>
        <v>434</v>
      </c>
      <c r="C43" s="23">
        <v>43101</v>
      </c>
      <c r="D43" s="126">
        <f aca="true" t="shared" si="5" ref="D43:D48">cubic_spline($K$5:$K$18,$L$5:$L$18,C43)</f>
        <v>13.606499671936035</v>
      </c>
      <c r="E43" s="141">
        <f aca="true" t="shared" si="6" ref="E43:E48">(1+D43/100)^(B43/252)</f>
        <v>1.2457089538629829</v>
      </c>
      <c r="F43" s="126">
        <f aca="true" t="shared" si="7" ref="F43:F48">cubic_spline($C$5:$C$13,$D$5:$D$13,C43)</f>
        <v>6.17708840889317</v>
      </c>
      <c r="G43" s="145">
        <f aca="true" t="shared" si="8" ref="G43:G48">(1+F43/100)^(B43/252)</f>
        <v>1.1087428770077845</v>
      </c>
      <c r="H43" s="23">
        <f aca="true" t="shared" si="9" ref="H43:H48">C43</f>
        <v>43101</v>
      </c>
      <c r="I43" s="140">
        <f aca="true" t="shared" si="10" ref="I43:I48">((E43/G43)^(252/B43)-1)*100</f>
        <v>6.997188729108705</v>
      </c>
    </row>
    <row r="44" spans="2:9" ht="15">
      <c r="B44" s="138">
        <f t="shared" si="4"/>
        <v>684</v>
      </c>
      <c r="C44" s="23">
        <v>43466</v>
      </c>
      <c r="D44" s="126">
        <f t="shared" si="5"/>
        <v>13.859999656677246</v>
      </c>
      <c r="E44" s="141">
        <f t="shared" si="6"/>
        <v>1.4223532963498728</v>
      </c>
      <c r="F44" s="126">
        <f t="shared" si="7"/>
        <v>6.6003043471094625</v>
      </c>
      <c r="G44" s="145">
        <f t="shared" si="8"/>
        <v>1.18944495791862</v>
      </c>
      <c r="H44" s="23">
        <f t="shared" si="9"/>
        <v>43466</v>
      </c>
      <c r="I44" s="140">
        <f t="shared" si="10"/>
        <v>6.810201297295482</v>
      </c>
    </row>
    <row r="45" spans="2:9" ht="15">
      <c r="B45" s="138">
        <f t="shared" si="4"/>
        <v>937</v>
      </c>
      <c r="C45" s="23">
        <v>43831</v>
      </c>
      <c r="D45" s="126">
        <f t="shared" si="5"/>
        <v>14.01200008392334</v>
      </c>
      <c r="E45" s="141">
        <f t="shared" si="6"/>
        <v>1.6283833843676057</v>
      </c>
      <c r="F45" s="126">
        <f t="shared" si="7"/>
        <v>6.43418958903821</v>
      </c>
      <c r="G45" s="145">
        <f t="shared" si="8"/>
        <v>1.2609405815608448</v>
      </c>
      <c r="H45" s="23">
        <f t="shared" si="9"/>
        <v>43831</v>
      </c>
      <c r="I45" s="140">
        <f t="shared" si="10"/>
        <v>7.1197145617817315</v>
      </c>
    </row>
    <row r="46" spans="2:9" ht="15">
      <c r="B46" s="138">
        <f t="shared" si="4"/>
        <v>1188</v>
      </c>
      <c r="C46" s="23">
        <v>44197</v>
      </c>
      <c r="D46" s="126">
        <f t="shared" si="5"/>
        <v>14.008299827575684</v>
      </c>
      <c r="E46" s="141">
        <f t="shared" si="6"/>
        <v>1.8553027292190134</v>
      </c>
      <c r="F46" s="126">
        <f t="shared" si="7"/>
        <v>6.582598854067198</v>
      </c>
      <c r="G46" s="145">
        <f t="shared" si="8"/>
        <v>1.350582615268215</v>
      </c>
      <c r="H46" s="23">
        <f t="shared" si="9"/>
        <v>44197</v>
      </c>
      <c r="I46" s="140">
        <f t="shared" si="10"/>
        <v>6.967085671907602</v>
      </c>
    </row>
    <row r="47" spans="2:9" ht="15">
      <c r="B47" s="138">
        <f t="shared" si="4"/>
        <v>1439</v>
      </c>
      <c r="C47" s="23">
        <v>44562</v>
      </c>
      <c r="D47" s="126">
        <f t="shared" si="5"/>
        <v>14.050249882034564</v>
      </c>
      <c r="E47" s="141">
        <f t="shared" si="6"/>
        <v>2.118544850963491</v>
      </c>
      <c r="F47" s="126">
        <f t="shared" si="7"/>
        <v>6.759068173135006</v>
      </c>
      <c r="G47" s="145">
        <f t="shared" si="8"/>
        <v>1.452781429098999</v>
      </c>
      <c r="H47" s="23">
        <f t="shared" si="9"/>
        <v>44562</v>
      </c>
      <c r="I47" s="140">
        <f t="shared" si="10"/>
        <v>6.829566643533447</v>
      </c>
    </row>
    <row r="48" spans="2:9" ht="15">
      <c r="B48" s="138">
        <f t="shared" si="4"/>
        <v>1690</v>
      </c>
      <c r="C48" s="23">
        <v>44927</v>
      </c>
      <c r="D48" s="126">
        <f t="shared" si="5"/>
        <v>14.149999618530273</v>
      </c>
      <c r="E48" s="141">
        <f t="shared" si="6"/>
        <v>2.429145634063009</v>
      </c>
      <c r="F48" s="126">
        <f t="shared" si="7"/>
        <v>6.753316553669045</v>
      </c>
      <c r="G48" s="145">
        <f t="shared" si="8"/>
        <v>1.550013285530056</v>
      </c>
      <c r="H48" s="23">
        <f t="shared" si="9"/>
        <v>44927</v>
      </c>
      <c r="I48" s="140">
        <f t="shared" si="10"/>
        <v>6.928761844267983</v>
      </c>
    </row>
    <row r="56" ht="15">
      <c r="A56" t="s">
        <v>173</v>
      </c>
    </row>
    <row r="58" spans="6:9" ht="15">
      <c r="F58" s="185" t="s">
        <v>60</v>
      </c>
      <c r="G58" s="185"/>
      <c r="I58" s="112" t="s">
        <v>177</v>
      </c>
    </row>
    <row r="59" spans="4:7" ht="15">
      <c r="D59" s="112" t="s">
        <v>171</v>
      </c>
      <c r="F59" s="59" t="s">
        <v>174</v>
      </c>
      <c r="G59" s="59" t="s">
        <v>175</v>
      </c>
    </row>
    <row r="60" spans="3:12" ht="15">
      <c r="C60" s="139">
        <f>B42</f>
        <v>185</v>
      </c>
      <c r="D60" s="140">
        <f>I42</f>
        <v>6.026708913856993</v>
      </c>
      <c r="F60" s="141">
        <f>(1+D60/100)^(C60/252)</f>
        <v>1.0438979473635235</v>
      </c>
      <c r="G60" s="59" t="s">
        <v>176</v>
      </c>
      <c r="H60">
        <v>2016</v>
      </c>
      <c r="I60" s="150">
        <f>D60</f>
        <v>6.026708913856993</v>
      </c>
      <c r="K60">
        <f>H60</f>
        <v>2016</v>
      </c>
      <c r="L60" s="140">
        <f>I60</f>
        <v>6.026708913856993</v>
      </c>
    </row>
    <row r="61" spans="3:12" ht="15">
      <c r="C61" s="139">
        <f aca="true" t="shared" si="11" ref="C61:C66">B43</f>
        <v>434</v>
      </c>
      <c r="D61" s="140">
        <f aca="true" t="shared" si="12" ref="D61:D66">I43</f>
        <v>6.997188729108705</v>
      </c>
      <c r="F61" s="141">
        <f>F60</f>
        <v>1.0438979473635235</v>
      </c>
      <c r="G61" s="149">
        <f aca="true" t="shared" si="13" ref="G61:G66">(1+D61/100)^(C61/252)</f>
        <v>1.1235327682328253</v>
      </c>
      <c r="H61">
        <v>2017</v>
      </c>
      <c r="I61" s="150">
        <f aca="true" t="shared" si="14" ref="I61:I66">((G61/F61)^(252/(C61-C60))-1)*100</f>
        <v>7.723975075917289</v>
      </c>
      <c r="K61">
        <f>H61</f>
        <v>2017</v>
      </c>
      <c r="L61" s="140">
        <f>I60</f>
        <v>6.026708913856993</v>
      </c>
    </row>
    <row r="62" spans="3:12" ht="15">
      <c r="C62" s="139">
        <f t="shared" si="11"/>
        <v>684</v>
      </c>
      <c r="D62" s="140">
        <f t="shared" si="12"/>
        <v>6.810201297295482</v>
      </c>
      <c r="F62" s="149">
        <f>G61</f>
        <v>1.1235327682328253</v>
      </c>
      <c r="G62" s="141">
        <f t="shared" si="13"/>
        <v>1.195812624098902</v>
      </c>
      <c r="H62">
        <v>2018</v>
      </c>
      <c r="I62" s="150">
        <f t="shared" si="14"/>
        <v>6.486366830370072</v>
      </c>
      <c r="K62">
        <v>2017</v>
      </c>
      <c r="L62" s="140">
        <f>I61</f>
        <v>7.723975075917289</v>
      </c>
    </row>
    <row r="63" spans="3:12" ht="15">
      <c r="C63" s="139">
        <f t="shared" si="11"/>
        <v>937</v>
      </c>
      <c r="D63" s="140">
        <f t="shared" si="12"/>
        <v>7.1197145617817315</v>
      </c>
      <c r="F63" s="141">
        <f>G62</f>
        <v>1.195812624098902</v>
      </c>
      <c r="G63" s="141">
        <f t="shared" si="13"/>
        <v>1.2914037411278532</v>
      </c>
      <c r="H63">
        <v>2019</v>
      </c>
      <c r="I63" s="150">
        <f t="shared" si="14"/>
        <v>7.9609990530526975</v>
      </c>
      <c r="K63">
        <v>2018</v>
      </c>
      <c r="L63" s="140">
        <f>I61</f>
        <v>7.723975075917289</v>
      </c>
    </row>
    <row r="64" spans="3:12" ht="15">
      <c r="C64" s="139">
        <f t="shared" si="11"/>
        <v>1188</v>
      </c>
      <c r="D64" s="140">
        <f t="shared" si="12"/>
        <v>6.967085671907602</v>
      </c>
      <c r="F64" s="141">
        <f>G63</f>
        <v>1.2914037411278532</v>
      </c>
      <c r="G64" s="141">
        <f t="shared" si="13"/>
        <v>1.3737054721754767</v>
      </c>
      <c r="H64">
        <v>2020</v>
      </c>
      <c r="I64" s="150">
        <f t="shared" si="14"/>
        <v>6.399230440907311</v>
      </c>
      <c r="K64">
        <v>2018</v>
      </c>
      <c r="L64" s="140">
        <f>I62</f>
        <v>6.486366830370072</v>
      </c>
    </row>
    <row r="65" spans="3:12" ht="15">
      <c r="C65" s="139">
        <f t="shared" si="11"/>
        <v>1439</v>
      </c>
      <c r="D65" s="140">
        <f t="shared" si="12"/>
        <v>6.829566643533447</v>
      </c>
      <c r="F65" s="141">
        <f>G64</f>
        <v>1.3737054721754767</v>
      </c>
      <c r="G65" s="141">
        <f t="shared" si="13"/>
        <v>1.4582681252178404</v>
      </c>
      <c r="H65">
        <v>2021</v>
      </c>
      <c r="I65" s="150">
        <f t="shared" si="14"/>
        <v>6.1810746302766395</v>
      </c>
      <c r="K65">
        <f>K63+1</f>
        <v>2019</v>
      </c>
      <c r="L65" s="140">
        <f>I62</f>
        <v>6.486366830370072</v>
      </c>
    </row>
    <row r="66" spans="3:12" ht="15">
      <c r="C66" s="139">
        <f t="shared" si="11"/>
        <v>1690</v>
      </c>
      <c r="D66" s="140">
        <f t="shared" si="12"/>
        <v>6.928761844267983</v>
      </c>
      <c r="F66" s="141">
        <f>G65</f>
        <v>1.4582681252178404</v>
      </c>
      <c r="G66" s="141">
        <f t="shared" si="13"/>
        <v>1.56717729889155</v>
      </c>
      <c r="H66">
        <v>2022</v>
      </c>
      <c r="I66" s="150">
        <f t="shared" si="14"/>
        <v>7.499234960877232</v>
      </c>
      <c r="K66">
        <f>K64+1</f>
        <v>2019</v>
      </c>
      <c r="L66" s="140">
        <f>I63</f>
        <v>7.9609990530526975</v>
      </c>
    </row>
    <row r="67" spans="11:12" ht="15">
      <c r="K67">
        <f aca="true" t="shared" si="15" ref="K67:K72">K65+1</f>
        <v>2020</v>
      </c>
      <c r="L67" s="140">
        <f>I63</f>
        <v>7.9609990530526975</v>
      </c>
    </row>
    <row r="68" spans="11:12" ht="15">
      <c r="K68">
        <f t="shared" si="15"/>
        <v>2020</v>
      </c>
      <c r="L68" s="140">
        <f>I64</f>
        <v>6.399230440907311</v>
      </c>
    </row>
    <row r="69" spans="11:12" ht="15">
      <c r="K69">
        <f t="shared" si="15"/>
        <v>2021</v>
      </c>
      <c r="L69" s="140">
        <f>I64</f>
        <v>6.399230440907311</v>
      </c>
    </row>
    <row r="70" spans="11:12" ht="15">
      <c r="K70">
        <f t="shared" si="15"/>
        <v>2021</v>
      </c>
      <c r="L70" s="140">
        <f>I65</f>
        <v>6.1810746302766395</v>
      </c>
    </row>
    <row r="71" spans="11:12" ht="15">
      <c r="K71">
        <f t="shared" si="15"/>
        <v>2022</v>
      </c>
      <c r="L71" s="140">
        <f>I65</f>
        <v>6.1810746302766395</v>
      </c>
    </row>
    <row r="72" spans="11:12" ht="15">
      <c r="K72">
        <f t="shared" si="15"/>
        <v>2022</v>
      </c>
      <c r="L72" s="140">
        <f>I66</f>
        <v>7.499234960877232</v>
      </c>
    </row>
    <row r="73" spans="11:12" ht="15">
      <c r="K73">
        <v>2023</v>
      </c>
      <c r="L73" s="140">
        <f>I66</f>
        <v>7.499234960877232</v>
      </c>
    </row>
  </sheetData>
  <sheetProtection/>
  <mergeCells count="1">
    <mergeCell ref="F58:G5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PAULO BERGER</cp:lastModifiedBy>
  <dcterms:created xsi:type="dcterms:W3CDTF">2012-11-27T22:54:28Z</dcterms:created>
  <dcterms:modified xsi:type="dcterms:W3CDTF">2022-09-29T18:23:37Z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